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1" i="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<sst xmlns="http://schemas.openxmlformats.org/spreadsheetml/2006/main" count="5122" uniqueCount="2702">
  <si>
    <t>ИНФРА-М Научно-издательский Центр</t>
  </si>
  <si>
    <t>006. Прайс-лист для учебных заведений и библиотек. Книги, включенные в ПООП
от 13.05.2024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</si>
  <si>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</si>
  <si>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</si>
  <si>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</si>
  <si>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</si>
  <si>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</si>
  <si>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</si>
  <si>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</si>
  <si>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</si>
  <si>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</si>
  <si>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</si>
  <si>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</si>
  <si>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</si>
  <si>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</si>
  <si>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</si>
  <si>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</si>
  <si>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</si>
  <si>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</si>
  <si>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</si>
  <si>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</si>
  <si>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</si>
  <si>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</si>
  <si>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</si>
  <si>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</si>
  <si>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</si>
  <si>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</si>
  <si>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</si>
  <si>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</si>
  <si>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</si>
  <si>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</si>
  <si>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Планируется к выходу</t>
  </si>
  <si>
    <t>К</t>
  </si>
  <si>
    <t>Ш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</si>
  <si>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</si>
  <si>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</si>
  <si>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</si>
  <si>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</si>
  <si>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</si>
  <si>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Форум</t>
  </si>
  <si>
    <t>Среднее профессиональное образование</t>
  </si>
  <si>
    <t>978-5-00091-775-6</t>
  </si>
  <si>
    <t>ГУМАНИТАРНЫЕ НАУКИ. РЕЛИГИЯ. ИСКУССТВО</t>
  </si>
  <si>
    <t>Филологические науки</t>
  </si>
  <si>
    <t>Учебник</t>
  </si>
  <si>
    <t>Профессиональное образование / Среднее профессиональное образование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</si>
  <si>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</si>
  <si>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</si>
  <si>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</si>
  <si>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</si>
  <si>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</si>
  <si>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</si>
  <si>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</si>
  <si>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</si>
  <si>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НИЦ ИНФРА-М</t>
  </si>
  <si>
    <t>978-5-16-010531-4</t>
  </si>
  <si>
    <t>ПРИКЛАДНЫЕ НАУКИ. ТЕХНИКА. МЕДИЦИНА</t>
  </si>
  <si>
    <t>Энергетика. Промышленность</t>
  </si>
  <si>
    <t>Учебное пособие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</si>
  <si>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</si>
  <si>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</si>
  <si>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</si>
  <si>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</si>
  <si>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</si>
  <si>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</si>
  <si>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</si>
  <si>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</si>
  <si>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</si>
  <si>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</si>
  <si>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</si>
  <si>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</si>
  <si>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32</t>
  </si>
  <si>
    <t>0218</t>
  </si>
  <si>
    <t>150950.11.01</t>
  </si>
  <si>
    <t>Автоматизация технол. проц. и произв.: Уч.пос. / А.А.Иванов -2изд.-М.:Форум, НИЦ ИНФРА-М,2023-224с(о)</t>
  </si>
  <si>
    <t>Иванов А. А.</t>
  </si>
  <si>
    <t>Обложка. КБС</t>
  </si>
  <si>
    <t>Высшее образование: Бакалавриат</t>
  </si>
  <si>
    <t>978-5-00091-521-9</t>
  </si>
  <si>
    <t>Профессиональное образование / ВО - Бакалавриат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</si>
  <si>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</si>
  <si>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</si>
  <si>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0215</t>
  </si>
  <si>
    <t>283300.04.01</t>
  </si>
  <si>
    <t>Автоматизация технологич. процессов и..: Уч. / В.М.Виноградов - М.:Форум, НИЦ ИНФРА-М,2022 - 193 с(ВО)(П)</t>
  </si>
  <si>
    <t>АВТОМАТИЗАЦИЯ ТЕХНОЛОГИЧЕСКИХ ПРОЦЕССОВ И ПРОИЗВОДСТВ. ВВЕДЕНИЕ В СПЕЦИАЛЬНОСТЬ, ИЗД.2</t>
  </si>
  <si>
    <t>Виноградов В.М., Черепахин А.А.</t>
  </si>
  <si>
    <t>978-5-00091-626-1</t>
  </si>
  <si>
    <t>Профессиональное образование</t>
  </si>
  <si>
    <t>15.03.04, 35.01.06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</si>
  <si>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подготовки15.03.04 «Автоматизация технологических процессов и производств» (квалификация (степень) «бакалавр») (протокол № 4 от 21.04.2021)</t>
  </si>
  <si>
    <t>Московский политехнический университет</t>
  </si>
  <si>
    <t>0222</t>
  </si>
  <si>
    <t>283300.07.01</t>
  </si>
  <si>
    <t>Автоматизация технологич. процессов и..: Уч. / В.М.Виноградов - М.:Форум, НИЦ ИНФРА-М,2022-192с(ВО)(о)</t>
  </si>
  <si>
    <t>АВТОМАТИЗАЦИЯ ТЕХНОЛОГИЧЕСКИХ ПРОЦЕССОВ И ПРОИЗВОДСТВ. ВВЕДЕНИЕ В СПЕЦИАЛЬНОСТЬ</t>
  </si>
  <si>
    <t>Виноградов В. М., Черепахин А. А.</t>
  </si>
  <si>
    <t>978-5-91134-898-4</t>
  </si>
  <si>
    <t>0114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</si>
  <si>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</si>
  <si>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</si>
  <si>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</si>
  <si>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</si>
  <si>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</si>
  <si>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</si>
  <si>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</si>
  <si>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</si>
  <si>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</si>
  <si>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</si>
  <si>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</si>
  <si>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</si>
  <si>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</si>
  <si>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</si>
  <si>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</si>
  <si>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СПО</t>
  </si>
  <si>
    <t>978-5-8199-0866-2</t>
  </si>
  <si>
    <t>Транспорт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</si>
  <si>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</si>
  <si>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</si>
  <si>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</si>
  <si>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</si>
  <si>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</si>
  <si>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</si>
  <si>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</si>
  <si>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</si>
  <si>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</si>
  <si>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Сельское хозяйство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</si>
  <si>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</si>
  <si>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</si>
  <si>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</si>
  <si>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</si>
  <si>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</si>
  <si>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</si>
  <si>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</si>
  <si>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</si>
  <si>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</si>
  <si>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978-5-369-01791-3</t>
  </si>
  <si>
    <t>ОБЩЕСТВЕННЫЕ НАУКИ.  ЭКОНОМИКА. ПРАВО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</si>
  <si>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</si>
  <si>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</si>
  <si>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</si>
  <si>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0119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</si>
  <si>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</si>
  <si>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</si>
  <si>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</si>
  <si>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</si>
  <si>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</si>
  <si>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</si>
  <si>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</si>
  <si>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</si>
  <si>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</si>
  <si>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</si>
  <si>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</si>
  <si>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</si>
  <si>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</si>
  <si>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</si>
  <si>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</si>
  <si>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</si>
  <si>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</si>
  <si>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Финансовый университет при Правительстве Российской Федерации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</si>
  <si>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</si>
  <si>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</si>
  <si>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</si>
  <si>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</si>
  <si>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</si>
  <si>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</si>
  <si>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</si>
  <si>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</si>
  <si>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</si>
  <si>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055050.12.01</t>
  </si>
  <si>
    <t>Анализ финансово-хоз. деят. предпр.: Уч. пос./А.А.Канке - 2 изд.-М.:ФОРУМ: Инфра-М, 2018-288с(ПО)(п)</t>
  </si>
  <si>
    <t>АНАЛИЗ ФИНАНСОВО-ХОЗЯЙСТВЕННОЙ ДЕЯТЕЛЬНОСТИ ПРЕДПРИЯТИЯ, ИЗД.2</t>
  </si>
  <si>
    <t>Канке А. А., Кошевая И. П.</t>
  </si>
  <si>
    <t>Переплет 7БЦ</t>
  </si>
  <si>
    <t>978-5-8199-0201-1</t>
  </si>
  <si>
    <t>38.02.01, 38.02.06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</si>
  <si>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</si>
  <si>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0205</t>
  </si>
  <si>
    <t>055050.15.01</t>
  </si>
  <si>
    <t>Анализ финансово-хоз. деят. предпр.: Уч.пос. / А.А.Канке-2 изд.-М.:ИД Форум, НИЦ ИНФРА-М,2024-288с.(СПО)(о)</t>
  </si>
  <si>
    <t>Канке А.А., Кошевая И.П.</t>
  </si>
  <si>
    <t>978-5-8199-0914-0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</si>
  <si>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</si>
  <si>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</si>
  <si>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</si>
  <si>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</si>
  <si>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Савицкая Г. В.</t>
  </si>
  <si>
    <t>978-5-16-006707-0</t>
  </si>
  <si>
    <t>38.02.01, 38.02.02, 38.02.03, 38.02.06, 38.02.07, 38.02.08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</si>
  <si>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</si>
  <si>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Белорусский государственный экономический университет</t>
  </si>
  <si>
    <t>0613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</si>
  <si>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</si>
  <si>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</si>
  <si>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</si>
  <si>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</si>
  <si>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</si>
  <si>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</si>
  <si>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</si>
  <si>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</si>
  <si>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</si>
  <si>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</si>
  <si>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</si>
  <si>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</si>
  <si>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</si>
  <si>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</si>
  <si>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</si>
  <si>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</si>
  <si>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</si>
  <si>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</si>
  <si>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</si>
  <si>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</si>
  <si>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</si>
  <si>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</si>
  <si>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</si>
  <si>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</si>
  <si>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</si>
  <si>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</si>
  <si>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</si>
  <si>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</si>
  <si>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</si>
  <si>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</si>
  <si>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</si>
  <si>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</si>
  <si>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</si>
  <si>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</si>
  <si>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</si>
  <si>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</si>
  <si>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</si>
  <si>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</si>
  <si>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</si>
  <si>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Информатика. Вычислительная техника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</si>
  <si>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</si>
  <si>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</si>
  <si>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</si>
  <si>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</si>
  <si>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</si>
  <si>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</si>
  <si>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</si>
  <si>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</si>
  <si>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</si>
  <si>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</si>
  <si>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</si>
  <si>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</si>
  <si>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</si>
  <si>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</si>
  <si>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</si>
  <si>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Высшее образование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</si>
  <si>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</si>
  <si>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</si>
  <si>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</si>
  <si>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107900.13.01</t>
  </si>
  <si>
    <t>Базы данных: Уч.: В 2 кн.Кн.2: Распр. и удал.. / В.П.Агальцов - М.:ИД ФОРУМ,ИНФРА-М,2024-271с(ВО)(п)</t>
  </si>
  <si>
    <t>БАЗЫ ДАННЫХ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</si>
  <si>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</si>
  <si>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</si>
  <si>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</si>
  <si>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</si>
  <si>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Московский государственный технический университет им. Н.Э. Баумана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</si>
  <si>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</si>
  <si>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</si>
  <si>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</si>
  <si>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</si>
  <si>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</si>
  <si>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ЕСТЕСТВЕННЫЕ НАУКИ. МАТЕМАТИКА</t>
  </si>
  <si>
    <t>Естественные науки в целом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</si>
  <si>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</si>
  <si>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</si>
  <si>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</si>
  <si>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</si>
  <si>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</si>
  <si>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</si>
  <si>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</si>
  <si>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</si>
  <si>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Российский экономический университет им. Г.В. Плеханова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</si>
  <si>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</si>
  <si>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</si>
  <si>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</si>
  <si>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</si>
  <si>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Июль, 2023</t>
  </si>
  <si>
    <t>0224</t>
  </si>
  <si>
    <t>664782.04.01</t>
  </si>
  <si>
    <t>Безопасность продукции: Уч.прак.пос. / Ю.Н.Берновский - М.:НИЦ ИНФРА-М,2024-254 с.(ВО: Бакалавр.)(П)</t>
  </si>
  <si>
    <t>БЕЗОПАСНОСТЬ ПРОДУКЦИИ</t>
  </si>
  <si>
    <t>Берновский Ю.Н.</t>
  </si>
  <si>
    <t>978-5-16-014056-8</t>
  </si>
  <si>
    <t>Технические науки в целом</t>
  </si>
  <si>
    <t>Учебно-практическое пособие</t>
  </si>
  <si>
    <t>26.02.04, 27.03.01, 27.03.02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</si>
  <si>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27.03.01 «Стандартизация и метрология»,27.03.02 «Управление качеством» (квалификация (степень) «бакалавр») (протокол № 15 от 14.10.2019)</t>
  </si>
  <si>
    <t>Стандартинформ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</si>
  <si>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</si>
  <si>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</si>
  <si>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</si>
  <si>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</si>
  <si>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Вузовский учебник</t>
  </si>
  <si>
    <t>978-5-9558-0617-4</t>
  </si>
  <si>
    <t>Бизнес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</si>
  <si>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</si>
  <si>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</si>
  <si>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0118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</si>
  <si>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</si>
  <si>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</si>
  <si>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</si>
  <si>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</si>
  <si>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</si>
  <si>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</si>
  <si>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</si>
  <si>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</si>
  <si>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</si>
  <si>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</si>
  <si>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</si>
  <si>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</si>
  <si>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</si>
  <si>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</si>
  <si>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</si>
  <si>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</si>
  <si>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</si>
  <si>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</si>
  <si>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</si>
  <si>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</si>
  <si>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</si>
  <si>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</si>
  <si>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</si>
  <si>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</si>
  <si>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</si>
  <si>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Биологические науки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</si>
  <si>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</si>
  <si>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</si>
  <si>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</si>
  <si>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485350.09.01</t>
  </si>
  <si>
    <t>Бурение скважин: Уч.пос. / В.В.Нескоромных - М.:НИЦ ИНФРА-М, СФУ,2024 - 352 с.(ВО: Спец. (СФУ))(П)</t>
  </si>
  <si>
    <t>БУРЕНИЕ СКВАЖИН</t>
  </si>
  <si>
    <t>Нескоромных В.В.</t>
  </si>
  <si>
    <t>Высшее образование: Специалитет (СФУ)</t>
  </si>
  <si>
    <t>978-5-16-018545-3</t>
  </si>
  <si>
    <t>Профессиональное образование / ВО - Специалитет</t>
  </si>
  <si>
    <t>05.03.01, 05.04.01, 21.02.12, 21.05.01, 21.05.02, 21.05.03, 21.05.04, 21.05.05, 21.05.06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</si>
  <si>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«Горный» в качестве учебного пособия для студентов специальности 21.05.03 «Технология геологической разведки»</t>
  </si>
  <si>
    <t>Сибирский федеральный университет</t>
  </si>
  <si>
    <t>0115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</si>
  <si>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</si>
  <si>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</si>
  <si>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</si>
  <si>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</si>
  <si>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</si>
  <si>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</si>
  <si>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</si>
  <si>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ДА</t>
  </si>
  <si>
    <t>Дагестанский государственный университет</t>
  </si>
  <si>
    <t>0113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</si>
  <si>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</si>
  <si>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</si>
  <si>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</si>
  <si>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</si>
  <si>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</si>
  <si>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0217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</si>
  <si>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</si>
  <si>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</si>
  <si>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</si>
  <si>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</si>
  <si>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Военное образование (ЧВВМУ им. Нахимова)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</si>
  <si>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</si>
  <si>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</si>
  <si>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</si>
  <si>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</si>
  <si>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</si>
  <si>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</si>
  <si>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</si>
  <si>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</si>
  <si>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</si>
  <si>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Науки о Земле. Экология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</si>
  <si>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</si>
  <si>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</si>
  <si>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</si>
  <si>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0216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</si>
  <si>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</si>
  <si>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</si>
  <si>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</si>
  <si>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</si>
  <si>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</si>
  <si>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</si>
  <si>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</si>
  <si>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0221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</si>
  <si>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</si>
  <si>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</si>
  <si>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</si>
  <si>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</si>
  <si>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</si>
  <si>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</si>
  <si>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</si>
  <si>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</si>
  <si>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</si>
  <si>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</si>
  <si>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Научная мысль</t>
  </si>
  <si>
    <t>978-5-16-013768-1</t>
  </si>
  <si>
    <t>Монография</t>
  </si>
  <si>
    <t>Дополнительное образование / Дополнительное профессиональное образование</t>
  </si>
  <si>
    <t>08.02.13, 08.03.01, 08.04.01, 08.05.01</t>
  </si>
  <si>
    <t>Тюменский индустриальный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</si>
  <si>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</si>
  <si>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</si>
  <si>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</si>
  <si>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Мандель Б.Р.</t>
  </si>
  <si>
    <t>978-5-16-018895-9</t>
  </si>
  <si>
    <t>Психология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</si>
  <si>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</si>
  <si>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</si>
  <si>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Сибирский университет потребительской кооперации</t>
  </si>
  <si>
    <t>151750.09.01</t>
  </si>
  <si>
    <t>Времена английского глагола....: Уч. пос. / А.А.Караванов - М.:НИЦ ИНФРА-М,2023 - 212 с-(ВО: Бакалавр.)(П)</t>
  </si>
  <si>
    <t>ВРЕМЕНА АНГЛИЙСКОГО ГЛАГОЛА.СИСТЕМА,ПРАВИЛА,УПРАЖНЕНИЯ,ТЕСТЫ</t>
  </si>
  <si>
    <t>Караванов А.А.</t>
  </si>
  <si>
    <t>978-5-16-011442-2</t>
  </si>
  <si>
    <t>00.03.02, 00.05.02, 35.01.16, 35.02.09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</si>
  <si>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</si>
  <si>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</si>
  <si>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</si>
  <si>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</si>
  <si>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</si>
  <si>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</si>
  <si>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</si>
  <si>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</si>
  <si>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</si>
  <si>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</si>
  <si>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</si>
  <si>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</si>
  <si>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</si>
  <si>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</si>
  <si>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</si>
  <si>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Государственный университет по землеустройству</t>
  </si>
  <si>
    <t>0519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</si>
  <si>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</si>
  <si>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</si>
  <si>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</si>
  <si>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</si>
  <si>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</si>
  <si>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</si>
  <si>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</si>
  <si>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</si>
  <si>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</si>
  <si>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</si>
  <si>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</si>
  <si>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</si>
  <si>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</si>
  <si>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</si>
  <si>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</si>
  <si>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</si>
  <si>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</si>
  <si>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</si>
  <si>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</si>
  <si>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</si>
  <si>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</si>
  <si>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</si>
  <si>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</si>
  <si>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Московский государственный университет им. М.В. Ломоносова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</si>
  <si>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</si>
  <si>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</si>
  <si>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</si>
  <si>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</si>
  <si>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</si>
  <si>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</si>
  <si>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</si>
  <si>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</si>
  <si>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</si>
  <si>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</si>
  <si>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</si>
  <si>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</si>
  <si>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</si>
  <si>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</si>
  <si>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</si>
  <si>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0214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</si>
  <si>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</si>
  <si>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</si>
  <si>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</si>
  <si>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</si>
  <si>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</si>
  <si>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</si>
  <si>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</si>
  <si>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</si>
  <si>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0116</t>
  </si>
  <si>
    <t>647313.04.01</t>
  </si>
  <si>
    <t>Гидравлика: Уч.пос. / В.Ф.Юдаев - 2 изд. - М.:НИЦ ИНФРА-М,2023 - 423 с.-(ВО: Бакалавриат)(П)</t>
  </si>
  <si>
    <t>ГИДРАВЛИКА, ИЗД.2</t>
  </si>
  <si>
    <t>Юдаев В.Ф.</t>
  </si>
  <si>
    <t>978-5-16-014497-9</t>
  </si>
  <si>
    <t>16.03.03, 19.03.01, 19.03.02, 20.03.01, 20.03.02, 21.02.12</t>
  </si>
  <si>
    <t>Рекомендовано в качестве учебного пособия для студентов высших учебных заведений, обучающихся по направлениям подготовки 19.03.01 «Биотехнология», 19.03.02 «Продукты питания из растительного сырья», 20.03.01 «Техносферная безопасность», 16.03.03 «Холодильная, криогенная техника и системы жизнеобеспечения»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</si>
  <si>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</si>
  <si>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647313.02.01</t>
  </si>
  <si>
    <t>Гидравлика: Уч.пос. / В.Ф.Юдаев - М.:НИЦ ИНФРА-М,2018.-301 с..-(ВО: Бакалавриат)(П)</t>
  </si>
  <si>
    <t>ГИДРАВЛИКА</t>
  </si>
  <si>
    <t>978-5-16-012476-6</t>
  </si>
  <si>
    <t>717645.03.01</t>
  </si>
  <si>
    <t>Гидравлика: Уч.пос. / С.Ф.Вольвак - М.:НИЦ ИНФРА-М,2023 - 438 с.-(ВО: Бакалавриат)(П)</t>
  </si>
  <si>
    <t>Вольвак С.Ф.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</si>
  <si>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</si>
  <si>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</si>
  <si>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</si>
  <si>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Белгородский государственный аграрный университет им. В.Я. Горина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</si>
  <si>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</si>
  <si>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</si>
  <si>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</si>
  <si>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</si>
  <si>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</si>
  <si>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</si>
  <si>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</si>
  <si>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Российский государственный аграрный университет - МСХА им. К.А. Тимирязева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</si>
  <si>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</si>
  <si>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</si>
  <si>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</si>
  <si>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</si>
  <si>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</si>
  <si>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</si>
  <si>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</si>
  <si>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</si>
  <si>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</si>
  <si>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</si>
  <si>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</si>
  <si>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</si>
  <si>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</si>
  <si>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Управление (менеджмент)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</si>
  <si>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</si>
  <si>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</si>
  <si>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</si>
  <si>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</si>
  <si>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</si>
  <si>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</si>
  <si>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</si>
  <si>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</si>
  <si>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</si>
  <si>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</si>
  <si>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</si>
  <si>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</si>
  <si>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</si>
  <si>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</si>
  <si>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</si>
  <si>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</si>
  <si>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</si>
  <si>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</si>
  <si>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</si>
  <si>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</si>
  <si>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</si>
  <si>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</si>
  <si>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</si>
  <si>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</si>
  <si>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</si>
  <si>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</si>
  <si>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</si>
  <si>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</si>
  <si>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</si>
  <si>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</si>
  <si>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</si>
  <si>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</si>
  <si>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</si>
  <si>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</si>
  <si>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</si>
  <si>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</si>
  <si>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</si>
  <si>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</si>
  <si>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</si>
  <si>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</si>
  <si>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</si>
  <si>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</si>
  <si>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</si>
  <si>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</si>
  <si>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</si>
  <si>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</si>
  <si>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</si>
  <si>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</si>
  <si>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</si>
  <si>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0107</t>
  </si>
  <si>
    <t>481750.01.01</t>
  </si>
  <si>
    <t>Документационное обеспечение управления персоналом: Уч. пос./Р.Е.Булат-М.:НИЦ ИНФРА-М,2015.-234 с..-(ВО: Бакалавриат)(п)</t>
  </si>
  <si>
    <t>ДОКУМЕНТАЦИОННОЕ ОБЕСПЕЧЕНИЕ УПРАВЛЕНИЯ ПЕРСОНАЛОМ</t>
  </si>
  <si>
    <t>Булат Р. Е.</t>
  </si>
  <si>
    <t>978-5-16-010318-1</t>
  </si>
  <si>
    <t>38.03.02, 38.03.03, 38.04.02, 38.04.03, 46.02.01, 46.03.02, 46.04.02</t>
  </si>
  <si>
    <t>Рекомендовано Учебно-методическим объединением вузов России по образованию в области менеджмента для студентов высших учебных заведений, обучающихся по направлению подготовки «Управление персоналом»</t>
  </si>
  <si>
    <t>Санкт-Петербургский университет Государственной противопожарной службы МЧС России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</si>
  <si>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</si>
  <si>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</si>
  <si>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</si>
  <si>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</si>
  <si>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</si>
  <si>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</si>
  <si>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</si>
  <si>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Севастопольский государственный университет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</si>
  <si>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</si>
  <si>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</si>
  <si>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</si>
  <si>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</si>
  <si>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</si>
  <si>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Строительство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</si>
  <si>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</si>
  <si>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</si>
  <si>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</si>
  <si>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</si>
  <si>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</si>
  <si>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</si>
  <si>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</si>
  <si>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</si>
  <si>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</si>
  <si>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</si>
  <si>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454800.08.01</t>
  </si>
  <si>
    <t>Инженерная графика: аудиторные задачи и..: Уч.пос. / А.А.Чекмарев- 2изд.-М.: НИЦ ИНФРА-М,2023 - 78с.(ВО)(о)</t>
  </si>
  <si>
    <t>ИНЖЕНЕРНАЯ ГРАФИКА: АУДИТОРНЫЕ ЗАДАЧИ И ЗАДАНИЯ, ИЗД.2</t>
  </si>
  <si>
    <t>978-5-16-018633-7</t>
  </si>
  <si>
    <t>08.03.01, 13.03.03, 15.03.01, 16.03.02, 18.03.01, 18.03.02, 19.03.01, 20.03.01, 20.03.02, 24.03.01, 26.02.04, 26.02.05, 26.02.06, 26.03.02, 27.03.05, 29.03.03, 29.03.05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</si>
  <si>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</si>
  <si>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344300.08.01</t>
  </si>
  <si>
    <t>Инженерная графика: Проецирование геометр. тел / Г.В.Буланже - 3изд -М.:КУРС, НИЦ ИНФРА-М,2023-184с.</t>
  </si>
  <si>
    <t>ИНЖЕНЕРНАЯ ГРАФИКА: ПРОЕЦИРОВАНИЕ ГЕОМЕТРИЧЕСКИХ ТЕЛ, ИЗД.3</t>
  </si>
  <si>
    <t>Г.В.Буланже, И.А.Гущин, В.А.Гончарова</t>
  </si>
  <si>
    <t>978-5-905554-86-5</t>
  </si>
  <si>
    <t>15.03.02, 15.03.04, 15.03.05, 26.02.04</t>
  </si>
  <si>
    <t>Рекомендовано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15.03.02 (151000) «Технологические машины и оборудование",  15.03.05 (151900) "Конструкторско-технологическое обеспечение машиностроительных производств", 15.03.04 (220700) "Автоматизация технологических процессов и производств"</t>
  </si>
  <si>
    <t>Московский государственный технологический университет "Станкин"</t>
  </si>
  <si>
    <t>0315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</si>
  <si>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</si>
  <si>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</si>
  <si>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</si>
  <si>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</si>
  <si>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</si>
  <si>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</si>
  <si>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</si>
  <si>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</si>
  <si>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</si>
  <si>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</si>
  <si>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</si>
  <si>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</si>
  <si>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</si>
  <si>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</si>
  <si>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</si>
  <si>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</si>
  <si>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</si>
  <si>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</si>
  <si>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</si>
  <si>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</si>
  <si>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</si>
  <si>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</si>
  <si>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</si>
  <si>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</si>
  <si>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</si>
  <si>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Гвоздева В.А.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</si>
  <si>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</si>
  <si>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</si>
  <si>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</si>
  <si>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</si>
  <si>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</si>
  <si>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</si>
  <si>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</si>
  <si>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</si>
  <si>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</si>
  <si>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</si>
  <si>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35</t>
  </si>
  <si>
    <t>0122</t>
  </si>
  <si>
    <t>089200.17.01</t>
  </si>
  <si>
    <t>Информационные технологии в проф. деят.: Уч. пос. /Е.Л. Федотова - ФОРУМ:ИНФРА-М, 2024 - 367с.(СПО) (п)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</si>
  <si>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</si>
  <si>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</si>
  <si>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</si>
  <si>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</si>
  <si>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</si>
  <si>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</si>
  <si>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</si>
  <si>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</si>
  <si>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</si>
  <si>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</si>
  <si>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</si>
  <si>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0112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</si>
  <si>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</si>
  <si>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</si>
  <si>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</si>
  <si>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</si>
  <si>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</si>
  <si>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</si>
  <si>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</si>
  <si>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0219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</si>
  <si>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</si>
  <si>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</si>
  <si>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</si>
  <si>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</si>
  <si>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</si>
  <si>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</si>
  <si>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</si>
  <si>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729261.05.01</t>
  </si>
  <si>
    <t>Классификация, состав и общая характер.судовых...: Уч.пос. / С.И.Толстой - М.:НИЦ ИНФРА-М,2024-108с(П)</t>
  </si>
  <si>
    <t>КЛАССИФИКАЦИЯ, СОСТАВ И ОБЩАЯ ХАРАКТЕРИСТИКА СУДОВЫХ ДИЗЕЛЬНЫХ ЭНЕРГЕТИЧЕСКИХ УСТАНОВОК</t>
  </si>
  <si>
    <t>Толстой С.И.</t>
  </si>
  <si>
    <t>978-5-16-016007-8</t>
  </si>
  <si>
    <t>26.02.04, 26.05.06</t>
  </si>
  <si>
    <t>Рекомендовано экспертным советом ЧВВМУ имени П.С. Нахимова в качестве учебного пособия по дисциплине «Судовые пропульсивные комплексы» для студентов, обучающихся по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</si>
  <si>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</si>
  <si>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</si>
  <si>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</si>
  <si>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</si>
  <si>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</si>
  <si>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</si>
  <si>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</si>
  <si>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</si>
  <si>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</si>
  <si>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</si>
  <si>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</si>
  <si>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</si>
  <si>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</si>
  <si>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</si>
  <si>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</si>
  <si>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</si>
  <si>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</si>
  <si>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</si>
  <si>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</si>
  <si>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</si>
  <si>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</si>
  <si>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Национальный исследовательский ядерный университет "МИФИ"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</si>
  <si>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</si>
  <si>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</si>
  <si>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</si>
  <si>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</si>
  <si>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Магистр</t>
  </si>
  <si>
    <t>978-5-9776-0446-8</t>
  </si>
  <si>
    <t>23.03.01, 38.02.01, 38.02.06, 38.03.01, 40.02.04</t>
  </si>
  <si>
    <t>Национальный исследовательский Нижегородский государственный университет им. Н.И. Лобачевского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</si>
  <si>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</si>
  <si>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</si>
  <si>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</si>
  <si>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</si>
  <si>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</si>
  <si>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</si>
  <si>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</si>
  <si>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</si>
  <si>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0409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</si>
  <si>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</si>
  <si>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</si>
  <si>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</si>
  <si>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</si>
  <si>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</si>
  <si>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</si>
  <si>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</si>
  <si>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</si>
  <si>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024307.27.01</t>
  </si>
  <si>
    <t>Конфликтология: Уч. / Под ред. Кибанова А.Я. - 2 изд. - М.:НИЦ ИНФРА-М,2021 - 301 с.-(ВО)(П)</t>
  </si>
  <si>
    <t>КОНФЛИКТОЛОГИЯ, ИЗД.2</t>
  </si>
  <si>
    <t>Кибанов А. Я., Ворожейкин И. Е., Захаров Д. К., Коновалова В. Г., Кибанов А. Я.</t>
  </si>
  <si>
    <t>978-5-16-005724-8</t>
  </si>
  <si>
    <t>20.02.05, 23.03.01, 31.02.04, 37.03.01, 37.03.02, 37.04.01, 37.04.02, 38.02.03, 38.02.07, 38.02.08, 38.03.01, 38.03.02, 38.03.03, 38.04.01, 38.04.02, 38.04.03, 39.03.01, 39.03.02, 39.04.01, 41.03.04, 41.03.06, 41.04.01, 41.04.04, 41.04.05, 43.04.03, 44.03.01, 44.03.05, 51.03.02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</si>
  <si>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направлениям подготовки 38.03.02 «Менеджмент»,  39.03.03 «Управление персоналом»</t>
  </si>
  <si>
    <t>Государственный университет управления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</si>
  <si>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</si>
  <si>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</si>
  <si>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</si>
  <si>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</si>
  <si>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</si>
  <si>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</si>
  <si>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Военное дело. Оружие. Спецслужбы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</si>
  <si>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</si>
  <si>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</si>
  <si>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</si>
  <si>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</si>
  <si>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0223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</si>
  <si>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</si>
  <si>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</si>
  <si>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</si>
  <si>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</si>
  <si>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</si>
  <si>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</si>
  <si>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</si>
  <si>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</si>
  <si>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</si>
  <si>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</si>
  <si>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</si>
  <si>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</si>
  <si>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</si>
  <si>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</si>
  <si>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</si>
  <si>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</si>
  <si>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</si>
  <si>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</si>
  <si>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</si>
  <si>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</si>
  <si>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</si>
  <si>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</si>
  <si>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</si>
  <si>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</si>
  <si>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</si>
  <si>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</si>
  <si>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</si>
  <si>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</si>
  <si>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</si>
  <si>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</si>
  <si>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</si>
  <si>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</si>
  <si>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</si>
  <si>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</si>
  <si>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</si>
  <si>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</si>
  <si>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</si>
  <si>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</si>
  <si>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0213</t>
  </si>
  <si>
    <t>215100.08.01</t>
  </si>
  <si>
    <t>Материаловедение и технология материалов: Уч. / Г.П.Фетисов - М.:НИЦ ИНФРА-М,2023 - 397 с.(ВО)(П)</t>
  </si>
  <si>
    <t>МАТЕРИАЛОВЕДЕНИЕ И ТЕХНОЛОГИЯ МАТЕРИАЛОВ</t>
  </si>
  <si>
    <t>Фетисов Г.П., Гарифуллин Ф.А.</t>
  </si>
  <si>
    <t>978-5-16-006899-2</t>
  </si>
  <si>
    <t>22.03.01, 22.03.02, 23.01.17</t>
  </si>
  <si>
    <t>Рекомендовано Научно-методическим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инженерно-технического профиля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</si>
  <si>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</si>
  <si>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</si>
  <si>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</si>
  <si>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</si>
  <si>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</si>
  <si>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</si>
  <si>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</si>
  <si>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095050.19.01</t>
  </si>
  <si>
    <t>Материаловедение: Уч.пос. / В.А.Стуканов - М.:ИД ФОРУМ, НИЦ ИНФРА-М,2024. - 368с.(ПО)</t>
  </si>
  <si>
    <t>МАТЕРИАЛОВЕДЕНИЕ</t>
  </si>
  <si>
    <t>Стуканов В. А.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</si>
  <si>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</si>
  <si>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</si>
  <si>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</si>
  <si>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Научно-Исследовательский Институт сельского хозяйства центрально-черноземной полосы имени В.В.Докуча</t>
  </si>
  <si>
    <t>071230.09.01</t>
  </si>
  <si>
    <t>Материаловедение: Уч.пос. / И.С.Давыдова - 2изд.-М.:ИЦ РИОР,НИЦ ИНФРА-М,2023-228с.(ВО:Бакалавр.)(о)</t>
  </si>
  <si>
    <t>МАТЕРИАЛОВЕДЕНИЕ, ИЗД.2</t>
  </si>
  <si>
    <t>Давыдова И. С., Максина Е. Л.</t>
  </si>
  <si>
    <t>978-5-369-01222-2</t>
  </si>
  <si>
    <t>13.02.01, 13.03.03, 15.03.01, 15.03.02, 15.03.03, 15.03.05, 22.03.01, 27.03.01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</si>
  <si>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</si>
  <si>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</si>
  <si>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</si>
  <si>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</si>
  <si>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08.02.13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</si>
  <si>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</si>
  <si>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0105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</si>
  <si>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</si>
  <si>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</si>
  <si>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</si>
  <si>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</si>
  <si>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</si>
  <si>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</si>
  <si>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</si>
  <si>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Уральский государственный экономический университет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</si>
  <si>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</si>
  <si>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</si>
  <si>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</si>
  <si>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Шитов В.Н.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</si>
  <si>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</si>
  <si>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</si>
  <si>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</si>
  <si>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Саратовский государственный медицинский университет им. В.И. Разумовского Минздрава России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</si>
  <si>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</si>
  <si>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</si>
  <si>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</si>
  <si>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</si>
  <si>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</si>
  <si>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</si>
  <si>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</si>
  <si>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</si>
  <si>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</si>
  <si>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</si>
  <si>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</si>
  <si>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</si>
  <si>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</si>
  <si>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</si>
  <si>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</si>
  <si>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</si>
  <si>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</si>
  <si>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</si>
  <si>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</si>
  <si>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</si>
  <si>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047950.18.01</t>
  </si>
  <si>
    <t>Менеджмент: Уч. пос. /Е.Н.Кнышова-М.:ИД ФОРУМ, НИЦ ИНФРА-М,2024.-304 с..-(Проф.обр.)(П)</t>
  </si>
  <si>
    <t>МЕНЕДЖМЕНТ</t>
  </si>
  <si>
    <t>Кнышова Е. Н.</t>
  </si>
  <si>
    <t>978-5-8199-0106-9</t>
  </si>
  <si>
    <t>08.02.01, 08.02.03, 08.02.04, 15.02.07, 26.02.04, 38.02.01, 38.02.02, 38.02.03, 38.02.06, 38.02.07, 38.02.08, 40.02.04</t>
  </si>
  <si>
    <t>0103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</si>
  <si>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</si>
  <si>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</si>
  <si>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</si>
  <si>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</si>
  <si>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</si>
  <si>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</si>
  <si>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</si>
  <si>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</si>
  <si>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</si>
  <si>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</si>
  <si>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</si>
  <si>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</si>
  <si>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</si>
  <si>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</si>
  <si>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</si>
  <si>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</si>
  <si>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</si>
  <si>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</si>
  <si>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</si>
  <si>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</si>
  <si>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Практическое пособие</t>
  </si>
  <si>
    <t>Дополнительное образование / Дополнительное профессиональное образование / ДПО - повышение квалификации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</si>
  <si>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</si>
  <si>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</si>
  <si>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0208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</si>
  <si>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</si>
  <si>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</si>
  <si>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</si>
  <si>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</si>
  <si>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</si>
  <si>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</si>
  <si>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</si>
  <si>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</si>
  <si>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</si>
  <si>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</si>
  <si>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</si>
  <si>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</si>
  <si>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</si>
  <si>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</si>
  <si>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</si>
  <si>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</si>
  <si>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</si>
  <si>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</si>
  <si>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</si>
  <si>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</si>
  <si>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</si>
  <si>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</si>
  <si>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</si>
  <si>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</si>
  <si>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</si>
  <si>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</si>
  <si>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Краснов В.И.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</si>
  <si>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</si>
  <si>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</si>
  <si>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</si>
  <si>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</si>
  <si>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</si>
  <si>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</si>
  <si>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</si>
  <si>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</si>
  <si>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</si>
  <si>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</si>
  <si>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</si>
  <si>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</si>
  <si>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</si>
  <si>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</si>
  <si>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Сидорова Е.Ю., Бобошко Д.Ю.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</si>
  <si>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</si>
  <si>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</si>
  <si>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</si>
  <si>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Национальный Исследовательский Технологический Университет "МИСИС"</t>
  </si>
  <si>
    <t>ПО2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</si>
  <si>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</si>
  <si>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</si>
  <si>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</si>
  <si>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Бондаренко В.А., Евтушенко С.И., Лепихова В.А. и др.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</si>
  <si>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</si>
  <si>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</si>
  <si>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</si>
  <si>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Южно-Российский государственный политехнический университет (НПИ) им. М.И. Платова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</si>
  <si>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</si>
  <si>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</si>
  <si>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</si>
  <si>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</si>
  <si>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</si>
  <si>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</si>
  <si>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</si>
  <si>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</si>
  <si>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</si>
  <si>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</si>
  <si>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</si>
  <si>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Саратовский государственный университет генетики, биотехнологии и инженерии имени Н.И. Вавилова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</si>
  <si>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</si>
  <si>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</si>
  <si>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</si>
  <si>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</si>
  <si>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</si>
  <si>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</si>
  <si>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</si>
  <si>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</si>
  <si>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</si>
  <si>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</si>
  <si>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</si>
  <si>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</si>
  <si>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</si>
  <si>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</si>
  <si>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</si>
  <si>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</si>
  <si>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</si>
  <si>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</si>
  <si>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</si>
  <si>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</si>
  <si>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Московский государственный университет им. М.В. Ломоносова, Геологический факультет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</si>
  <si>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</si>
  <si>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</si>
  <si>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</si>
  <si>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</si>
  <si>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</si>
  <si>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</si>
  <si>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</si>
  <si>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</si>
  <si>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</si>
  <si>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</si>
  <si>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</si>
  <si>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</si>
  <si>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</si>
  <si>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</si>
  <si>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</si>
  <si>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</si>
  <si>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</si>
  <si>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</si>
  <si>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</si>
  <si>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</si>
  <si>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</si>
  <si>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</si>
  <si>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</si>
  <si>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</si>
  <si>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</si>
  <si>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</si>
  <si>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</si>
  <si>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</si>
  <si>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</si>
  <si>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</si>
  <si>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</si>
  <si>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</si>
  <si>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</si>
  <si>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</si>
  <si>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035200.17.01</t>
  </si>
  <si>
    <t>Организация производ. и управ. предпр.: Уч. / Под ред. Туровец О.Г., - 3 изд.-М.:НИЦ ИНФРА-М,2024.-506 с.(п)</t>
  </si>
  <si>
    <t>ОРГАНИЗАЦИЯ ПРОИЗВОДСТВА И УПРАВЛЕНИЕ ПРЕДПРИЯТИЕМ, ИЗД.3</t>
  </si>
  <si>
    <t>Туровец О.Г., Родионова В.Н., Попов В.Н. и др.</t>
  </si>
  <si>
    <t>978-5-16-019090-7</t>
  </si>
  <si>
    <t>08.01.28, 38.03.01, 38.03.02</t>
  </si>
  <si>
    <t>Воронежский государственный технический университет</t>
  </si>
  <si>
    <t>0311</t>
  </si>
  <si>
    <t>084600.11.01</t>
  </si>
  <si>
    <t>Организация производства на промышл. предпр.: Уч. / И.Н.Иванов-М.:НИЦ ИНФРА-М,2024-352с(ВО: Бак.)(п)</t>
  </si>
  <si>
    <t>ОРГАНИЗАЦИЯ ПРОИЗВОДСТВА НА ПРОМЫШЛЕННЫХ ПРЕДПРИЯТИЯХ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</si>
  <si>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</si>
  <si>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</si>
  <si>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</si>
  <si>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</si>
  <si>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</si>
  <si>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</si>
  <si>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</si>
  <si>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</si>
  <si>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</si>
  <si>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</si>
  <si>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</si>
  <si>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</si>
  <si>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</si>
  <si>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</si>
  <si>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</si>
  <si>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</si>
  <si>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</si>
  <si>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</si>
  <si>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</si>
  <si>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</si>
  <si>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</si>
  <si>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</si>
  <si>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</si>
  <si>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</si>
  <si>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</si>
  <si>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187800.16.01</t>
  </si>
  <si>
    <t>Основы военной службы: Уч. / В.Ю.Микрюков, - 2 изд., испр. и доп.-М.:Форум, НИЦ ИНФРА-М,2021-384с(о)</t>
  </si>
  <si>
    <t>ОСНОВЫ ВОЕННОЙ СЛУЖБЫ, ИЗД.2</t>
  </si>
  <si>
    <t>Микрюков В.Ю.</t>
  </si>
  <si>
    <t>978-5-00091-415-1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</si>
  <si>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</si>
  <si>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</si>
  <si>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</si>
  <si>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</si>
  <si>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</si>
  <si>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</si>
  <si>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978-5-00091-623-0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</si>
  <si>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</si>
  <si>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</si>
  <si>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</si>
  <si>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</si>
  <si>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</si>
  <si>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</si>
  <si>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</si>
  <si>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0104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</si>
  <si>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</si>
  <si>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</si>
  <si>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</si>
  <si>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</si>
  <si>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</si>
  <si>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09.02.07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</si>
  <si>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</si>
  <si>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</si>
  <si>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</si>
  <si>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</si>
  <si>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Черепахин А.А.</t>
  </si>
  <si>
    <t>978-5-906923-12-7</t>
  </si>
  <si>
    <t>15.01.05, 15.01.24, 15.01.25, 15.01.26, 15.01.27, 15.01.28, 15.01.30, 15.01.38, 23.01.03, 23.01.17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</si>
  <si>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</si>
  <si>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</si>
  <si>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</si>
  <si>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</si>
  <si>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</si>
  <si>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</si>
  <si>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</si>
  <si>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272500.05.01</t>
  </si>
  <si>
    <t>Основы метрологии, сертификации и стандарт.: Уч.пос./Д.Д.Грибанов-М.:НИЦ ИНФРА-М,2019-127с-(ВО)(О)</t>
  </si>
  <si>
    <t>ОСНОВЫ МЕТРОЛОГИИ, СЕРТИФИКАЦИИ И СТАНДАРТИЗАЦИИ</t>
  </si>
  <si>
    <t>Грибанов Д.Д.</t>
  </si>
  <si>
    <t>978-5-16-009677-3</t>
  </si>
  <si>
    <t>09.02.06, 27.03.01</t>
  </si>
  <si>
    <t>Рекомендовано в качестве учебного пособия для студентов высших учебных заведений, обучающихся по направлению подготовки 27.03.01 «Стандартизация и метрология» (квалификация (степень) «бакалавр»)</t>
  </si>
  <si>
    <t>272500.06.01</t>
  </si>
  <si>
    <t>Основы метрологии, стандартизации и...: Уч.пос. / Д.Д.Грибанов, - 2 изд.-М.:НИЦ ИНФРА-М,2023.-140 с.(ВО)(п)</t>
  </si>
  <si>
    <t>ОСНОВЫ МЕТРОЛОГИИ, СТАНДАРТИЗАЦИИ И СЕРТИФИКАЦИИ, ИЗД.2</t>
  </si>
  <si>
    <t>978-5-16-017829-5</t>
  </si>
  <si>
    <t>Май, 2023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</si>
  <si>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</si>
  <si>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</si>
  <si>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</si>
  <si>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</si>
  <si>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</si>
  <si>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</si>
  <si>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</si>
  <si>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</si>
  <si>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</si>
  <si>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</si>
  <si>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</si>
  <si>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</si>
  <si>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</si>
  <si>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</si>
  <si>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</si>
  <si>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</si>
  <si>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</si>
  <si>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</si>
  <si>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Ноябрь, 2023</t>
  </si>
  <si>
    <t>0324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</si>
  <si>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</si>
  <si>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</si>
  <si>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</si>
  <si>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</si>
  <si>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</si>
  <si>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</si>
  <si>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</si>
  <si>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</si>
  <si>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</si>
  <si>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</si>
  <si>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</si>
  <si>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</si>
  <si>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</si>
  <si>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</si>
  <si>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00.02.11, 08.02.14, 13.02.05, 15.02.09, 15.02.16, 18.02.09, 18.02.13, 26.02.03, 26.02.06, 27.02.06, 33.02.01, 36.02.01, 38.02.07, 43.02.15, 43.02.16, 43.02.17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</si>
  <si>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</si>
  <si>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Московский государственный университет им. М.В. Ломоносова, философский факультет</t>
  </si>
  <si>
    <t>0106</t>
  </si>
  <si>
    <t>079820.07.01</t>
  </si>
  <si>
    <t>Основы философии: Уч. пос. / Е.Б. Ерина. - М.: ИЦ РИОР:  НИЦ Инфра-М, 2018. - 90 с. (о) к/ф</t>
  </si>
  <si>
    <t>Ерина Е. Б.</t>
  </si>
  <si>
    <t>978-5-369-00641-2</t>
  </si>
  <si>
    <t>00.02.11, 00.03.11, 00.05.11, 13.02.05</t>
  </si>
  <si>
    <t>Допущено Федеральным агентством по строительству и жилищно-коммунальному хоз-ву в качестве учебного пособия  для студ. средних спец. учебных зав., обучающихся по строительным специальностям</t>
  </si>
  <si>
    <t>Государственный морской университет им. адмирала Ф.Ф. Ушакова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</si>
  <si>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</si>
  <si>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</si>
  <si>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</si>
  <si>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</si>
  <si>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</si>
  <si>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</si>
  <si>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</si>
  <si>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</si>
  <si>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</si>
  <si>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</si>
  <si>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</si>
  <si>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</si>
  <si>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</si>
  <si>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647415.06.01</t>
  </si>
  <si>
    <t>Отечественная история: Краткий учеб. курс / Ю.И.Дубровин и др.-М.:Юр.Норма, НИЦ ИНФРА-М,2023-144с(О)</t>
  </si>
  <si>
    <t>ОТЕЧЕСТВЕННАЯ ИСТОРИЯ</t>
  </si>
  <si>
    <t>Дубровин Ю.И., Дубровина О.Ю., Плотникова О.В.</t>
  </si>
  <si>
    <t>Юр. НОРМА</t>
  </si>
  <si>
    <t>978-5-91768-796-4</t>
  </si>
  <si>
    <t>История. Исторические науки</t>
  </si>
  <si>
    <t>Краткий учебный курс</t>
  </si>
  <si>
    <t>00.03.04, 00.05.04, 26.02.04</t>
  </si>
  <si>
    <t>683084.05.01</t>
  </si>
  <si>
    <t>Отечественная история: Уч. / И.Н.Кузнецов-М.:НИЦ ИНФРА-М,2023.-639 с..(СПО)(П)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</si>
  <si>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</si>
  <si>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</si>
  <si>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</si>
  <si>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</si>
  <si>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</si>
  <si>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</si>
  <si>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</si>
  <si>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</si>
  <si>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</si>
  <si>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</si>
  <si>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</si>
  <si>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094260.13.01</t>
  </si>
  <si>
    <t>Охрана труда: Прак. пос. / П.М.Федоров, - 5 изд.-М.:ИЦ РИОР, НИЦ ИНФРА-М,2023.-149 с.(Прак. рук.)(о)</t>
  </si>
  <si>
    <t>ОХРАНА ТРУДА, ИЗД.5</t>
  </si>
  <si>
    <t>Федоров П.М.</t>
  </si>
  <si>
    <t>Практическое руководство</t>
  </si>
  <si>
    <t>978-5-369-01925-2</t>
  </si>
  <si>
    <t>Право. Юридические науки</t>
  </si>
  <si>
    <t>00.02.22, 08.01.29, 21.02.12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</si>
  <si>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</si>
  <si>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094260.08.01</t>
  </si>
  <si>
    <t>Охрана труда: Практ. пос. / П.М.Федоров - 3 изд.-М.:ИЦ РИОР, НИЦ ИНФРА-М,2021-138 с.(Прак. рук.)(О)</t>
  </si>
  <si>
    <t>ОХРАНА ТРУДА, ИЗД.3</t>
  </si>
  <si>
    <t>978-5-369-00797-6</t>
  </si>
  <si>
    <t>094260.11.01</t>
  </si>
  <si>
    <t>Охрана труда: Практ. пос. / П.М.Федоров - 4 изд. - М.:ИЦ РИОР, НИЦ ИНФРА-М,2022 - 156 с.(Практ. рук.)(О)</t>
  </si>
  <si>
    <t>ОХРАНА ТРУДА, ИЗД.4</t>
  </si>
  <si>
    <t>978-5-369-01889-7</t>
  </si>
  <si>
    <t>0422</t>
  </si>
  <si>
    <t>094260.04.01</t>
  </si>
  <si>
    <t>Охрана труда: Практ. рук. / П.М.Федоров - 2 изд. - М.:ИЦ РИОР, НИЦ ИНФРА-М,2018 - 137 с.(О)</t>
  </si>
  <si>
    <t>ОХРАНА ТРУДА, ИЗД.2</t>
  </si>
  <si>
    <t>978-5-369-01674-9</t>
  </si>
  <si>
    <t>758082.04.01</t>
  </si>
  <si>
    <t>Охрана труда: Уч. / М.В.Графкина - 3 изд. - М.:НИЦ ИНФРА-М,2024 - 212 с.(ВО)(п)</t>
  </si>
  <si>
    <t>Графкина М.В.</t>
  </si>
  <si>
    <t>978-5-16-019077-8</t>
  </si>
  <si>
    <t>00.03.01, 00.05.01, 15.03.01, 15.03.02, 15.03.03, 15.03.04, 15.03.05, 15.03.06, 21.02.12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</si>
  <si>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11 от 09.11.2020)</t>
  </si>
  <si>
    <t>23</t>
  </si>
  <si>
    <t>107800.15.01</t>
  </si>
  <si>
    <t>Охрана труда: Уч. / М.В.Графкина - 3 изд. - М.:НИЦ ИНФРА-М,2024 - 212 с.-(СПО)(п)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</si>
  <si>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</si>
  <si>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</si>
  <si>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</si>
  <si>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</si>
  <si>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</si>
  <si>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</si>
  <si>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</si>
  <si>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</si>
  <si>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</si>
  <si>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</si>
  <si>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</si>
  <si>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</si>
  <si>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</si>
  <si>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</si>
  <si>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</si>
  <si>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287200.05.01</t>
  </si>
  <si>
    <t>Полимерные конструкционные материалы...: Уч. пос. / Б.Б.Бобович - М:Форум: ИНФРА-М,2023 - 400 с. (П)</t>
  </si>
  <si>
    <t>ПОЛИМЕРНЫЕ КОНСТРУКЦИОННЫЕ МАТЕРИАЛЫ (СТРУКТУРА, СВОЙСТВА, ПРИМЕНЕНИЕ)</t>
  </si>
  <si>
    <t>Бобович Б. Б.</t>
  </si>
  <si>
    <t>978-5-91134-911-0</t>
  </si>
  <si>
    <t>15.03.05, 23.03.02, 23.03.03, 23.04.02, 26.02.04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</si>
  <si>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специальности «Наземные транспортно-технологические средства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</si>
  <si>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</si>
  <si>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</si>
  <si>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</si>
  <si>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</si>
  <si>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</si>
  <si>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</si>
  <si>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</si>
  <si>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</si>
  <si>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</si>
  <si>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</si>
  <si>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</si>
  <si>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</si>
  <si>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Октябрь, 2023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</si>
  <si>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</si>
  <si>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</si>
  <si>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</si>
  <si>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</si>
  <si>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</si>
  <si>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</si>
  <si>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</si>
  <si>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</si>
  <si>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</si>
  <si>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753340.04.01</t>
  </si>
  <si>
    <t>Правовое обеспечение проф. деят.: Уч. / Г.С.Працко-М.:ИЦ РИОР, НИЦ ИНФРА-М,2023.-311 с.(ВО)(П)</t>
  </si>
  <si>
    <t>ПРАВОВОЕ ОБЕСПЕЧЕНИЕ ПРОФЕССИОНАЛЬНОЙ ДЕЯТЕЛЬНОСТИ</t>
  </si>
  <si>
    <t>Працко Г.С.</t>
  </si>
  <si>
    <t>978-5-369-01867-5</t>
  </si>
  <si>
    <t>00.03.08, 08.02.14</t>
  </si>
  <si>
    <t>Донской государственный технический университет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</si>
  <si>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</si>
  <si>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</si>
  <si>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</si>
  <si>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</si>
  <si>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</si>
  <si>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</si>
  <si>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</si>
  <si>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</si>
  <si>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</si>
  <si>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</si>
  <si>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</si>
  <si>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</si>
  <si>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</si>
  <si>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</si>
  <si>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</si>
  <si>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</si>
  <si>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</si>
  <si>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</si>
  <si>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</si>
  <si>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</si>
  <si>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</si>
  <si>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</si>
  <si>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</si>
  <si>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</si>
  <si>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</si>
  <si>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</si>
  <si>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</si>
  <si>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</si>
  <si>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</si>
  <si>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</si>
  <si>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</si>
  <si>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</si>
  <si>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</si>
  <si>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Гукова О.Н., Петрова А.М.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</si>
  <si>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</si>
  <si>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</si>
  <si>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Академия труда и социальных отношений</t>
  </si>
  <si>
    <t>438650.06.01</t>
  </si>
  <si>
    <t>Природоохранные технологии разраб. рудн. месторожд.: Уч. пос./В.И.Голик - М.:ИНФРА-М, 2023-192с.(ВО) (п)</t>
  </si>
  <si>
    <t>ПРИРОДООХРАННЫЕ ТЕХНОЛОГИИ РАЗРАБОТКИ РУДНЫХ МЕСТОРОЖДЕНИЙ</t>
  </si>
  <si>
    <t>Голик В. И.</t>
  </si>
  <si>
    <t>978-5-16-006749-0</t>
  </si>
  <si>
    <t>21.02.12, 21.05.04, 21.05.05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</si>
  <si>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заведений, обучающихся по направлениям подготовки «Горное дело» и «Физические процессы</t>
  </si>
  <si>
    <t>Северо-Кавказский горно-металлургический институт (государственный технологический университет)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</si>
  <si>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</si>
  <si>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</si>
  <si>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</si>
  <si>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</si>
  <si>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</si>
  <si>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</si>
  <si>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</si>
  <si>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Юго-Западный государственный университет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</si>
  <si>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</si>
  <si>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</si>
  <si>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</si>
  <si>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</si>
  <si>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</si>
  <si>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</si>
  <si>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</si>
  <si>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</si>
  <si>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</si>
  <si>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</si>
  <si>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</si>
  <si>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</si>
  <si>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</si>
  <si>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</si>
  <si>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</si>
  <si>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Бухалков М. И.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</si>
  <si>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</si>
  <si>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</si>
  <si>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</si>
  <si>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Самарский государственный технический университет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</si>
  <si>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</si>
  <si>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</si>
  <si>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</si>
  <si>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</si>
  <si>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</si>
  <si>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</si>
  <si>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</si>
  <si>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</si>
  <si>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</si>
  <si>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</si>
  <si>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</si>
  <si>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</si>
  <si>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438950.09.01</t>
  </si>
  <si>
    <t>Разработка месторождений полезных ископаемых: Уч. пос./В.И.Голик - М.: НИЦ ИНФРА-М, 2024 - 136с.(ВО) (о)</t>
  </si>
  <si>
    <t>РАЗРАБОТКА МЕСТОРОЖДЕНИЙ ПОЛЕЗНЫХ ИСКОПАЕМЫХ</t>
  </si>
  <si>
    <t>978-5-16-018781-5</t>
  </si>
  <si>
    <t>05.03.01, 05.04.01, 21.02.12, 21.05.04, 21.05.05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</si>
  <si>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</si>
  <si>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</si>
  <si>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</si>
  <si>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</si>
  <si>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</si>
  <si>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</si>
  <si>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</si>
  <si>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</si>
  <si>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674750.04.01</t>
  </si>
  <si>
    <t>Ремонт технологического оборудования: Уч. / А.Г.Схиртладзе - М.:КУРС,НИЦ ИНФРА-М,2022 - 352 с.(П)</t>
  </si>
  <si>
    <t>РЕМОНТ ТЕХНОЛОГИЧЕСКОГО ОБОРУДОВАНИЯ</t>
  </si>
  <si>
    <t>Схиртладзе А.Г., Скрябин В.А.</t>
  </si>
  <si>
    <t>Бакалавриат</t>
  </si>
  <si>
    <t>978-5-906923-80-6</t>
  </si>
  <si>
    <t>15.03.05, 21.02.12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</si>
  <si>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</si>
  <si>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</si>
  <si>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</si>
  <si>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</si>
  <si>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</si>
  <si>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</si>
  <si>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</si>
  <si>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</si>
  <si>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</si>
  <si>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</si>
  <si>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</si>
  <si>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</si>
  <si>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</si>
  <si>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08.01.29, 08.02.04, 08.02.13, 08.02.14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</si>
  <si>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</si>
  <si>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</si>
  <si>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</si>
  <si>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</si>
  <si>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</si>
  <si>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</si>
  <si>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</si>
  <si>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</si>
  <si>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</si>
  <si>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</si>
  <si>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</si>
  <si>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</si>
  <si>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</si>
  <si>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</si>
  <si>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</si>
  <si>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</si>
  <si>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</si>
  <si>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</si>
  <si>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</si>
  <si>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00.02.31, 26.02.04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</si>
  <si>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</si>
  <si>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</si>
  <si>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</si>
  <si>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</si>
  <si>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</si>
  <si>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</si>
  <si>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</si>
  <si>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Национальный исследовательский Мордовский государственный университет им. Н.П. Огарева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</si>
  <si>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</si>
  <si>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</si>
  <si>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</si>
  <si>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</si>
  <si>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</si>
  <si>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</si>
  <si>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</si>
  <si>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</si>
  <si>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</si>
  <si>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</si>
  <si>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</si>
  <si>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</si>
  <si>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</si>
  <si>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</si>
  <si>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</si>
  <si>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Шишов О.В.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</si>
  <si>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</si>
  <si>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</si>
  <si>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</si>
  <si>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636896.09.01</t>
  </si>
  <si>
    <t>Социальная психология общения...: Моногр. / А.Л.Свенцицкий - 2 изд.-М.:НИЦ ИНФРА-М,2024.-389 с.(П)</t>
  </si>
  <si>
    <t>СОЦИАЛЬНАЯ ПСИХОЛОГИЯ ОБЩЕНИЯ: ТЕОРИЯ И ПРАКТИКА, ИЗД.2</t>
  </si>
  <si>
    <t>Свенцицкий А.Л., Почебут Л.Г., Гуриева С.Д. и др.</t>
  </si>
  <si>
    <t>978-5-16-014192-3</t>
  </si>
  <si>
    <t>07.02.01, 08.02.01, 09.02.06, 26.02.04, 37.03.01, 38.03.04, 44.03.01, 44.03.05</t>
  </si>
  <si>
    <t>Санкт-Петербургский государственный университет</t>
  </si>
  <si>
    <t>636896.03.01</t>
  </si>
  <si>
    <t>Социальная психология общения: Моногр. / Под ред. Свенцицкого А.Л.-М.:НИЦ ИНФРА-М,2018-256с.(П)</t>
  </si>
  <si>
    <t>СОЦИАЛЬНАЯ ПСИХОЛОГИЯ ОБЩЕНИЯ</t>
  </si>
  <si>
    <t>Свенцицкий А.Л., Панфёров В.Н., Куликов Л.В. и др.</t>
  </si>
  <si>
    <t>978-5-16-012186-4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</si>
  <si>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</si>
  <si>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</si>
  <si>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</si>
  <si>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Сибикин Ю.Д.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</si>
  <si>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</si>
  <si>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</si>
  <si>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</si>
  <si>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</si>
  <si>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</si>
  <si>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</si>
  <si>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</si>
  <si>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</si>
  <si>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</si>
  <si>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</si>
  <si>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</si>
  <si>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</si>
  <si>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</si>
  <si>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</si>
  <si>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Лоторейчук Е.А.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</si>
  <si>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</si>
  <si>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</si>
  <si>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</si>
  <si>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Московский колледж бизнес-технологий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</si>
  <si>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</si>
  <si>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</si>
  <si>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</si>
  <si>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</si>
  <si>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</si>
  <si>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</si>
  <si>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</si>
  <si>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</si>
  <si>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186300.13.01</t>
  </si>
  <si>
    <t>Тепловые электрич. станции. Схемы и оборуд.: Уч.пос. / А.А.Кудинов - М.:НИЦ ИНФРА-М,2024 - 325 с.(ВО)(п)</t>
  </si>
  <si>
    <t>ТЕПЛОВЫЕ ЭЛЕКТРИЧЕСКИЕ СТАНЦИИ. СХЕМЫ И ОБОРУДОВАНИЕ</t>
  </si>
  <si>
    <t>Кудинов А.А.</t>
  </si>
  <si>
    <t>978-5-16-019521-6</t>
  </si>
  <si>
    <t>13.02.05, 13.03.01, 13.03.02, 13.04.01</t>
  </si>
  <si>
    <t>Допущено УМО вузов России по обр. в области энергетики и электротехники в качестве уч.пос. для студентов ВУЗов, обучающихся по напр. подготовки 140100 "Теплоэнергетика и теплотехника"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</si>
  <si>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</si>
  <si>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</si>
  <si>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</si>
  <si>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</si>
  <si>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</si>
  <si>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</si>
  <si>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</si>
  <si>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</si>
  <si>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</si>
  <si>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</si>
  <si>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</si>
  <si>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</si>
  <si>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</si>
  <si>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</si>
  <si>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</si>
  <si>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</si>
  <si>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</si>
  <si>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0211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</si>
  <si>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</si>
  <si>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</si>
  <si>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</si>
  <si>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</si>
  <si>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</si>
  <si>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</si>
  <si>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</si>
  <si>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</si>
  <si>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</si>
  <si>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</si>
  <si>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</si>
  <si>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</si>
  <si>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</si>
  <si>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</si>
  <si>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</si>
  <si>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</si>
  <si>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</si>
  <si>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</si>
  <si>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</si>
  <si>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</si>
  <si>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</si>
  <si>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</si>
  <si>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</si>
  <si>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</si>
  <si>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</si>
  <si>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666734.05.01</t>
  </si>
  <si>
    <t>Техническая эксплуатация зданий: Уч.пос. / В.М.Лебедев - М.:НИЦ ИНФРА-М,2023 - 360 с.-(ВО)(П)</t>
  </si>
  <si>
    <t>ТЕХНИЧЕСКАЯ ЭКСПЛУАТАЦИЯ ЗДАНИЙ</t>
  </si>
  <si>
    <t>Лебедев В.М.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</si>
  <si>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</si>
  <si>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</si>
  <si>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</si>
  <si>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Белгородский государственный технологический университет им. В.Г. Шухова</t>
  </si>
  <si>
    <t>640607.07.01</t>
  </si>
  <si>
    <t>Технические средства информатизации: Уч. / В.П.Зверева - М.:КУРС,НИЦ ИНФРА-М,2024 - 248с.-(СПО)(П)</t>
  </si>
  <si>
    <t>ТЕХНИЧЕСКИЕ СРЕДСТВА ИНФОРМАТИЗАЦИИ</t>
  </si>
  <si>
    <t>Зверева В.П., Назаров А.В.</t>
  </si>
  <si>
    <t>978-5-906818-54-6</t>
  </si>
  <si>
    <t>09.01.05, 09.02.02, 09.02.03, 09.02.04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</si>
  <si>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</si>
  <si>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</si>
  <si>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</si>
  <si>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</si>
  <si>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</si>
  <si>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</si>
  <si>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</si>
  <si>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</si>
  <si>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</si>
  <si>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</si>
  <si>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</si>
  <si>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</si>
  <si>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0110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</si>
  <si>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</si>
  <si>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</si>
  <si>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</si>
  <si>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</si>
  <si>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</si>
  <si>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</si>
  <si>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</si>
  <si>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</si>
  <si>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</si>
  <si>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</si>
  <si>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</si>
  <si>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</si>
  <si>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435350.08.01</t>
  </si>
  <si>
    <t>Технология и техника бурения: Уч.пос.: В 2 ч.Ч.1 / В.С.Войтенко-ИНФРА-М;Нов.зн.,2022-237с-(ВО:Бак.)(П)</t>
  </si>
  <si>
    <t>ТЕХНОЛОГИЯ И ТЕХНИКА БУРЕНИЯ</t>
  </si>
  <si>
    <t>Войтенко В.С., Смычкин А.Д., Тухто А.А. и др.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</si>
  <si>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</si>
  <si>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</si>
  <si>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</si>
  <si>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</si>
  <si>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</si>
  <si>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</si>
  <si>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</si>
  <si>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</si>
  <si>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</si>
  <si>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</si>
  <si>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</si>
  <si>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</si>
  <si>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</si>
  <si>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</si>
  <si>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</si>
  <si>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</si>
  <si>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</si>
  <si>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Сибикин Ю. Д., Сибикин М. Ю.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</si>
  <si>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</si>
  <si>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</si>
  <si>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</si>
  <si>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</si>
  <si>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</si>
  <si>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</si>
  <si>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</si>
  <si>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</si>
  <si>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</si>
  <si>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</si>
  <si>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210900.03.01</t>
  </si>
  <si>
    <t>Управление отходами: Уч.пос. / Б.Б.Бобович - 2 изд. - М.: Форум: НИЦ ИНФРА-М,2017 - 104 с.-(ВО)(о)</t>
  </si>
  <si>
    <t>УПРАВЛЕНИЕ ОТХОДАМИ, ИЗД.2</t>
  </si>
  <si>
    <t>978-5-00091-012-2</t>
  </si>
  <si>
    <t>05.03.06, 20.02.01, 20.03.01, 21.02.10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</si>
  <si>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</si>
  <si>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</si>
  <si>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</si>
  <si>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</si>
  <si>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</si>
  <si>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</si>
  <si>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082420.06.01</t>
  </si>
  <si>
    <t>Управление персоналом: Уч. / А.Я.Кибанов и др.-М.:ИЦ РИОР,2020.-288 с..-(ВО) (О.к/ф)</t>
  </si>
  <si>
    <t>УПРАВЛЕНИЕ ПЕРСОНАЛОМ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</si>
  <si>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</si>
  <si>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</si>
  <si>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</si>
  <si>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</si>
  <si>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</si>
  <si>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</si>
  <si>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</si>
  <si>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</si>
  <si>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</si>
  <si>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</si>
  <si>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</si>
  <si>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</si>
  <si>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</si>
  <si>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</si>
  <si>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</si>
  <si>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</si>
  <si>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</si>
  <si>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ДОМ, БЫТ, ДОСУГ</t>
  </si>
  <si>
    <t>Спорт. Самооборона</t>
  </si>
  <si>
    <t>Учебно-методическое пособие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</si>
  <si>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</si>
  <si>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</si>
  <si>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</si>
  <si>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654216.09.01</t>
  </si>
  <si>
    <t>Философия: Уч. / В.А.Канке-М.:НИЦ ИНФРА-М,2023.-291 с..-(ВО)(п)</t>
  </si>
  <si>
    <t>ФИЛОСОФИЯ</t>
  </si>
  <si>
    <t>Канке В.А.</t>
  </si>
  <si>
    <t>978-5-16-018664-1</t>
  </si>
  <si>
    <t>00.03.11, 00.05.11, 26.02.04</t>
  </si>
  <si>
    <t>Рекомендовано в качестве учебника для студентов высших учебных заведений, обучающихся по всем направлениям подготовки (квалификация (степень) «бакалавр»)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</si>
  <si>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</si>
  <si>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</si>
  <si>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</si>
  <si>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Казакова Н.А.</t>
  </si>
  <si>
    <t>Высшее образование: Магистратура (РЭУ)</t>
  </si>
  <si>
    <t>978-5-16-018380-0</t>
  </si>
  <si>
    <t>Профессиональное образование / ВО - Магистратура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</si>
  <si>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</si>
  <si>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</si>
  <si>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Сентябрь, 2023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</si>
  <si>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</si>
  <si>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</si>
  <si>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</si>
  <si>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</si>
  <si>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</si>
  <si>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</si>
  <si>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</si>
  <si>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</si>
  <si>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</si>
  <si>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</si>
  <si>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</si>
  <si>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</si>
  <si>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Медицина. Фармакология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</si>
  <si>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</si>
  <si>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</si>
  <si>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Кисловодский медицинский колледж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</si>
  <si>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</si>
  <si>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</si>
  <si>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</si>
  <si>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</si>
  <si>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</si>
  <si>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</si>
  <si>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</si>
  <si>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</si>
  <si>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</si>
  <si>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</si>
  <si>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</si>
  <si>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</si>
  <si>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</si>
  <si>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</si>
  <si>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</si>
  <si>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</si>
  <si>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</si>
  <si>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</si>
  <si>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</si>
  <si>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</si>
  <si>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</si>
  <si>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</si>
  <si>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</si>
  <si>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</si>
  <si>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</si>
  <si>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</si>
  <si>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</si>
  <si>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</si>
  <si>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</si>
  <si>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</si>
  <si>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</si>
  <si>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</si>
  <si>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Институт проблем управления им. В.А. Трапезникова Российской академии наук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</si>
  <si>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</si>
  <si>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</si>
  <si>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</si>
  <si>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</si>
  <si>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</si>
  <si>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</si>
  <si>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</si>
  <si>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</si>
  <si>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</si>
  <si>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</si>
  <si>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</si>
  <si>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</si>
  <si>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</si>
  <si>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</si>
  <si>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</si>
  <si>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</si>
  <si>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</si>
  <si>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</si>
  <si>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</si>
  <si>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</si>
  <si>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</si>
  <si>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</si>
  <si>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</si>
  <si>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</si>
  <si>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</si>
  <si>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</si>
  <si>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Институт деловой карьеры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</si>
  <si>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</si>
  <si>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</si>
  <si>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</si>
  <si>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</si>
  <si>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</si>
  <si>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</si>
  <si>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</si>
  <si>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</si>
  <si>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</si>
  <si>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</si>
  <si>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</si>
  <si>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</si>
  <si>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</si>
  <si>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</si>
  <si>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</si>
  <si>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</si>
  <si>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</si>
  <si>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</si>
  <si>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</si>
  <si>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Ставропольский государственный аграрный университет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</si>
  <si>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</si>
  <si>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</si>
  <si>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</si>
  <si>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</si>
  <si>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</si>
  <si>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</si>
  <si>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</si>
  <si>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Владимирский государственный университет им. А.Г. и Н.Г. Столетовых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</si>
  <si>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</si>
  <si>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</si>
  <si>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</si>
  <si>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</si>
  <si>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</si>
  <si>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</si>
  <si>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</si>
  <si>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</si>
  <si>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</si>
  <si>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</si>
  <si>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</si>
  <si>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</si>
  <si>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</si>
  <si>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</si>
  <si>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</si>
  <si>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</si>
  <si>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</si>
  <si>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</si>
  <si>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</si>
  <si>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Российский государственный университет им. А.Н. Косыгина</t>
  </si>
  <si>
    <t>703090.06.01</t>
  </si>
  <si>
    <t>Электротехника и электроника: Уч. / М.В.Гальперин - 2 изд. - М.:Форум, НИЦ ИНФРА-М,2023 - 480 с.-(ВО)(П)</t>
  </si>
  <si>
    <t>ЭЛЕКТРОТЕХНИКА И ЭЛЕКТРОНИКА, ИЗД.2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</si>
  <si>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</si>
  <si>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</si>
  <si>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</si>
  <si>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</si>
  <si>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</si>
  <si>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</si>
  <si>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</si>
  <si>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</si>
  <si>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</si>
  <si>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</si>
  <si>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</si>
  <si>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</si>
  <si>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</si>
  <si>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</si>
  <si>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</si>
  <si>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</si>
  <si>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</si>
  <si>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</si>
  <si>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</si>
  <si>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</si>
  <si>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Ситников А.В., Ситников И.А.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</si>
  <si>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</si>
  <si>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</si>
  <si>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</si>
  <si>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</si>
  <si>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</si>
  <si>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</si>
  <si>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Комков В. А., Тимахова Н. С.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</si>
  <si>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</si>
  <si>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</si>
  <si>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</si>
  <si>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702854.04.01</t>
  </si>
  <si>
    <t>Эскизное проектир. судовых энергетич. установок: Уч.пос. / В.В.Кузнецов - М.:НИЦ ИНФРА-М,2024 - 220с(П)</t>
  </si>
  <si>
    <t>ЭСКИЗНОЕ ПРОЕКТИРОВАНИЕ СУДОВЫХ ЭНЕРГЕТИЧЕСКИХ УСТАНОВОК</t>
  </si>
  <si>
    <t>Кузнецов В.В., Максимов С.В., Толстой С.И.</t>
  </si>
  <si>
    <t>978-5-16-014944-8</t>
  </si>
  <si>
    <t>26.02.04, 26.05.02, 26.05.06</t>
  </si>
  <si>
    <t>Рекомендовано экспертным советом ЧВВМУ имени П.С. Нахимова в качестве учебного пособия к курсовому и дипломному проектированию по дисциплине «Эксплуатация судовых энергетических установок» для студентов, обучающихся по специальности 26.05.06 «Эксплуатация судовых энергетических установок»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</si>
  <si>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</si>
  <si>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</si>
  <si>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</si>
  <si>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</si>
  <si>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</si>
  <si>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</si>
  <si>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</si>
  <si>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</si>
  <si>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</si>
  <si>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</si>
  <si>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</si>
  <si>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</si>
  <si>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</si>
  <si>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</si>
  <si>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</si>
  <si>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</si>
  <si>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</si>
  <si>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</si>
  <si>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</si>
  <si>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</si>
  <si>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</si>
  <si>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</si>
  <si>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</si>
  <si>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</si>
  <si>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</si>
  <si>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00.02.22</t>
  </si>
  <si>
    <t>Охрана труда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</si>
  <si>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</si>
  <si>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</si>
  <si>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</si>
  <si>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</si>
  <si>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</si>
  <si>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</si>
  <si>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</si>
  <si>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</si>
  <si>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</si>
  <si>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</si>
  <si>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</si>
  <si>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</si>
  <si>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</si>
  <si>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</si>
  <si>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</si>
  <si>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</si>
  <si>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</si>
  <si>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</si>
  <si>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00.03.01</t>
  </si>
  <si>
    <t>00.03.02</t>
  </si>
  <si>
    <t>00.03.04</t>
  </si>
  <si>
    <t>00.03.08</t>
  </si>
  <si>
    <t>Правоведение</t>
  </si>
  <si>
    <t>00.03.11</t>
  </si>
  <si>
    <t>00.03.31</t>
  </si>
  <si>
    <t>00.05.01</t>
  </si>
  <si>
    <t>00.05.02</t>
  </si>
  <si>
    <t>00.05.04</t>
  </si>
  <si>
    <t>00.05.11</t>
  </si>
  <si>
    <t>01.00.00</t>
  </si>
  <si>
    <t>МАТЕМАТИКА И МЕХАНИКА</t>
  </si>
  <si>
    <t>01.03.02</t>
  </si>
  <si>
    <t>Прикладная математика и информатика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</si>
  <si>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</si>
  <si>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</si>
  <si>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</si>
  <si>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</si>
  <si>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</si>
  <si>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</si>
  <si>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</si>
  <si>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</si>
  <si>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</si>
  <si>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</si>
  <si>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</si>
  <si>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</si>
  <si>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</si>
  <si>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</si>
  <si>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</si>
  <si>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</si>
  <si>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</si>
  <si>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</si>
  <si>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</si>
  <si>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</si>
  <si>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</si>
  <si>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</si>
  <si>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</si>
  <si>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</si>
  <si>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</si>
  <si>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</si>
  <si>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</si>
  <si>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</si>
  <si>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</si>
  <si>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</si>
  <si>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</si>
  <si>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</si>
  <si>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</si>
  <si>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</si>
  <si>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</si>
  <si>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</si>
  <si>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05.04.01</t>
  </si>
  <si>
    <t>05.04.02</t>
  </si>
  <si>
    <t>05.04.04</t>
  </si>
  <si>
    <t>05.04.06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</si>
  <si>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</si>
  <si>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</si>
  <si>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</si>
  <si>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</si>
  <si>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</si>
  <si>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</si>
  <si>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</si>
  <si>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</si>
  <si>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</si>
  <si>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</si>
  <si>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</si>
  <si>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</si>
  <si>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07.04.01</t>
  </si>
  <si>
    <t>08.00.00</t>
  </si>
  <si>
    <t>ТЕХНИКА И ТЕХНОЛОГИИ СТРОИТЕЛЬСТВА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</si>
  <si>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</si>
  <si>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</si>
  <si>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</si>
  <si>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</si>
  <si>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</si>
  <si>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</si>
  <si>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</si>
  <si>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</si>
  <si>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</si>
  <si>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</si>
  <si>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</si>
  <si>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</si>
  <si>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</si>
  <si>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</si>
  <si>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</si>
  <si>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</si>
  <si>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</si>
  <si>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</si>
  <si>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</si>
  <si>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</si>
  <si>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</si>
  <si>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</si>
  <si>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</si>
  <si>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</si>
  <si>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</si>
  <si>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</si>
  <si>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</si>
  <si>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</si>
  <si>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</si>
  <si>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</si>
  <si>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</si>
  <si>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</si>
  <si>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</si>
  <si>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</si>
  <si>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08.04.01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</si>
  <si>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</si>
  <si>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</si>
  <si>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</si>
  <si>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</si>
  <si>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</si>
  <si>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</si>
  <si>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</si>
  <si>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</si>
  <si>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</si>
  <si>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</si>
  <si>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</si>
  <si>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</si>
  <si>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</si>
  <si>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</si>
  <si>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</si>
  <si>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</si>
  <si>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</si>
  <si>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</si>
  <si>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</si>
  <si>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</si>
  <si>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</si>
  <si>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</si>
  <si>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</si>
  <si>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</si>
  <si>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</si>
  <si>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</si>
  <si>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</si>
  <si>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</si>
  <si>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</si>
  <si>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</si>
  <si>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</si>
  <si>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</si>
  <si>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</si>
  <si>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</si>
  <si>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</si>
  <si>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</si>
  <si>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</si>
  <si>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</si>
  <si>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</si>
  <si>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</si>
  <si>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</si>
  <si>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</si>
  <si>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</si>
  <si>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</si>
  <si>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</si>
  <si>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</si>
  <si>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</si>
  <si>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</si>
  <si>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</si>
  <si>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11.01.11</t>
  </si>
  <si>
    <t>Наладчик технологического оборудования (электронная техника)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</si>
  <si>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</si>
  <si>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</si>
  <si>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</si>
  <si>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</si>
  <si>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</si>
  <si>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</si>
  <si>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</si>
  <si>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</si>
  <si>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</si>
  <si>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</si>
  <si>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</si>
  <si>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</si>
  <si>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</si>
  <si>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</si>
  <si>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</si>
  <si>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</si>
  <si>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</si>
  <si>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</si>
  <si>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</si>
  <si>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</si>
  <si>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</si>
  <si>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</si>
  <si>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</si>
  <si>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</si>
  <si>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</si>
  <si>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</si>
  <si>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</si>
  <si>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</si>
  <si>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</si>
  <si>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</si>
  <si>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</si>
  <si>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</si>
  <si>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11.04.02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</si>
  <si>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</si>
  <si>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</si>
  <si>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</si>
  <si>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</si>
  <si>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</si>
  <si>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</si>
  <si>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</si>
  <si>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</si>
  <si>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</si>
  <si>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</si>
  <si>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</si>
  <si>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</si>
  <si>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</si>
  <si>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</si>
  <si>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</si>
  <si>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</si>
  <si>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</si>
  <si>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</si>
  <si>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</si>
  <si>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</si>
  <si>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</si>
  <si>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</si>
  <si>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</si>
  <si>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</si>
  <si>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</si>
  <si>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</si>
  <si>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</si>
  <si>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</si>
  <si>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</si>
  <si>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</si>
  <si>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</si>
  <si>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</si>
  <si>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</si>
  <si>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</si>
  <si>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</si>
  <si>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</si>
  <si>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</si>
  <si>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</si>
  <si>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</si>
  <si>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</si>
  <si>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</si>
  <si>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</si>
  <si>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</si>
  <si>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</si>
  <si>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</si>
  <si>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</si>
  <si>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</si>
  <si>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</si>
  <si>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</si>
  <si>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</si>
  <si>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</si>
  <si>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</si>
  <si>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</si>
  <si>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</si>
  <si>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</si>
  <si>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</si>
  <si>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</si>
  <si>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</si>
  <si>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</si>
  <si>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</si>
  <si>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</si>
  <si>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</si>
  <si>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</si>
  <si>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</si>
  <si>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</si>
  <si>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</si>
  <si>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</si>
  <si>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</si>
  <si>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</si>
  <si>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</si>
  <si>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</si>
  <si>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</si>
  <si>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</si>
  <si>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</si>
  <si>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</si>
  <si>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</si>
  <si>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</si>
  <si>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</si>
  <si>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</si>
  <si>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</si>
  <si>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</si>
  <si>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</si>
  <si>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</si>
  <si>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</si>
  <si>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</si>
  <si>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</si>
  <si>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</si>
  <si>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</si>
  <si>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</si>
  <si>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</si>
  <si>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</si>
  <si>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</si>
  <si>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</si>
  <si>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</si>
  <si>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</si>
  <si>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</si>
  <si>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</si>
  <si>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</si>
  <si>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</si>
  <si>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</si>
  <si>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</si>
  <si>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</si>
  <si>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</si>
  <si>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</si>
  <si>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</si>
  <si>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</si>
  <si>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</si>
  <si>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</si>
  <si>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</si>
  <si>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</si>
  <si>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</si>
  <si>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</si>
  <si>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</si>
  <si>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</si>
  <si>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</si>
  <si>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</si>
  <si>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</si>
  <si>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</si>
  <si>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</si>
  <si>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</si>
  <si>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</si>
  <si>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</si>
  <si>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15.04.06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</si>
  <si>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</si>
  <si>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</si>
  <si>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</si>
  <si>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</si>
  <si>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</si>
  <si>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</si>
  <si>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</si>
  <si>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</si>
  <si>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</si>
  <si>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</si>
  <si>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</si>
  <si>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</si>
  <si>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</si>
  <si>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</si>
  <si>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</si>
  <si>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</si>
  <si>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</si>
  <si>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</si>
  <si>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</si>
  <si>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</si>
  <si>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</si>
  <si>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</si>
  <si>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</si>
  <si>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</si>
  <si>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</si>
  <si>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</si>
  <si>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</si>
  <si>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</si>
  <si>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</si>
  <si>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</si>
  <si>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</si>
  <si>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</si>
  <si>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</si>
  <si>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</si>
  <si>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</si>
  <si>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</si>
  <si>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</si>
  <si>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</si>
  <si>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</si>
  <si>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</si>
  <si>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</si>
  <si>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</si>
  <si>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</si>
  <si>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</si>
  <si>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</si>
  <si>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</si>
  <si>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</si>
  <si>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</si>
  <si>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</si>
  <si>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</si>
  <si>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</si>
  <si>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</si>
  <si>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</si>
  <si>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</si>
  <si>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</si>
  <si>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</si>
  <si>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</si>
  <si>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</si>
  <si>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</si>
  <si>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</si>
  <si>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</si>
  <si>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</si>
  <si>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</si>
  <si>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</si>
  <si>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</si>
  <si>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</si>
  <si>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</si>
  <si>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</si>
  <si>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</si>
  <si>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</si>
  <si>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</si>
  <si>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</si>
  <si>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</si>
  <si>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</si>
  <si>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</si>
  <si>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</si>
  <si>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</si>
  <si>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</si>
  <si>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</si>
  <si>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</si>
  <si>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</si>
  <si>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</si>
  <si>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</si>
  <si>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</si>
  <si>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</si>
  <si>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</si>
  <si>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</si>
  <si>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</si>
  <si>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</si>
  <si>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</si>
  <si>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</si>
  <si>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</si>
  <si>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</si>
  <si>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</si>
  <si>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</si>
  <si>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</si>
  <si>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</si>
  <si>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</si>
  <si>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</si>
  <si>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</si>
  <si>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</si>
  <si>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</si>
  <si>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</si>
  <si>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</si>
  <si>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</si>
  <si>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</si>
  <si>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</si>
  <si>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</si>
  <si>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</si>
  <si>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</si>
  <si>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</si>
  <si>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</si>
  <si>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</si>
  <si>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</si>
  <si>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</si>
  <si>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</si>
  <si>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</si>
  <si>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</si>
  <si>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</si>
  <si>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</si>
  <si>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</si>
  <si>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</si>
  <si>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</si>
  <si>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</si>
  <si>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</si>
  <si>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</si>
  <si>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</si>
  <si>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</si>
  <si>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</si>
  <si>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</si>
  <si>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</si>
  <si>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</si>
  <si>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</si>
  <si>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</si>
  <si>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</si>
  <si>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</si>
  <si>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</si>
  <si>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</si>
  <si>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</si>
  <si>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</si>
  <si>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</si>
  <si>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</si>
  <si>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</si>
  <si>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</si>
  <si>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</si>
  <si>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</si>
  <si>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</si>
  <si>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</si>
  <si>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23.04.02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</si>
  <si>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</si>
  <si>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</si>
  <si>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</si>
  <si>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</si>
  <si>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</si>
  <si>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</si>
  <si>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</si>
  <si>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</si>
  <si>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</si>
  <si>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</si>
  <si>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</si>
  <si>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</si>
  <si>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</si>
  <si>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</si>
  <si>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</si>
  <si>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</si>
  <si>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</si>
  <si>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</si>
  <si>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</si>
  <si>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</si>
  <si>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</si>
  <si>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</si>
  <si>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24.05.01</t>
  </si>
  <si>
    <t>Проектирование, производство и эксплуатация ракет и ракетно-космических комплексов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</si>
  <si>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</si>
  <si>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</si>
  <si>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</si>
  <si>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</si>
  <si>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</si>
  <si>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</si>
  <si>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</si>
  <si>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</si>
  <si>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</si>
  <si>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</si>
  <si>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</si>
  <si>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</si>
  <si>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</si>
  <si>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</si>
  <si>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</si>
  <si>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</si>
  <si>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</si>
  <si>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</si>
  <si>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</si>
  <si>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</si>
  <si>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</si>
  <si>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</si>
  <si>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</si>
  <si>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</si>
  <si>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</si>
  <si>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</si>
  <si>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</si>
  <si>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</si>
  <si>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</si>
  <si>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</si>
  <si>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</si>
  <si>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</si>
  <si>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</si>
  <si>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26.05.06</t>
  </si>
  <si>
    <t>26.05.07</t>
  </si>
  <si>
    <t>27.00.00</t>
  </si>
  <si>
    <t>УПРАВЛЕНИЕ В ТЕХНИЧЕСКИХ СИСТЕМАХ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</si>
  <si>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</si>
  <si>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</si>
  <si>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</si>
  <si>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</si>
  <si>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</si>
  <si>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</si>
  <si>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</si>
  <si>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</si>
  <si>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</si>
  <si>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</si>
  <si>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</si>
  <si>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</si>
  <si>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</si>
  <si>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</si>
  <si>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</si>
  <si>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</si>
  <si>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</si>
  <si>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</si>
  <si>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</si>
  <si>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</si>
  <si>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27.04.05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</si>
  <si>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</si>
  <si>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</si>
  <si>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</si>
  <si>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</si>
  <si>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</si>
  <si>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</si>
  <si>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</si>
  <si>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</si>
  <si>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</si>
  <si>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</si>
  <si>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</si>
  <si>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</si>
  <si>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29.03.05</t>
  </si>
  <si>
    <t>Конструирование изделий легкой промышленности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</si>
  <si>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</si>
  <si>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</si>
  <si>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</si>
  <si>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</si>
  <si>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</si>
  <si>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</si>
  <si>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</si>
  <si>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</si>
  <si>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</si>
  <si>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</si>
  <si>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</si>
  <si>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</si>
  <si>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</si>
  <si>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</si>
  <si>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</si>
  <si>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</si>
  <si>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</si>
  <si>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</si>
  <si>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</si>
  <si>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</si>
  <si>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33.05.01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</si>
  <si>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</si>
  <si>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</si>
  <si>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</si>
  <si>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</si>
  <si>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</si>
  <si>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</si>
  <si>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</si>
  <si>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</si>
  <si>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</si>
  <si>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</si>
  <si>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</si>
  <si>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</si>
  <si>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35.01.16</t>
  </si>
  <si>
    <t>Мастер по водным биоресурсам и аквакультуре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</si>
  <si>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</si>
  <si>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</si>
  <si>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</si>
  <si>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</si>
  <si>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</si>
  <si>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</si>
  <si>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</si>
  <si>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</si>
  <si>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</si>
  <si>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</si>
  <si>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</si>
  <si>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</si>
  <si>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35.02.09</t>
  </si>
  <si>
    <t>Водные биоресурсы и аквакультура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</si>
  <si>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</si>
  <si>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</si>
  <si>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</si>
  <si>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</si>
  <si>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</si>
  <si>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</si>
  <si>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</si>
  <si>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</si>
  <si>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</si>
  <si>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</si>
  <si>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</si>
  <si>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</si>
  <si>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</si>
  <si>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</si>
  <si>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</si>
  <si>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</si>
  <si>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</si>
  <si>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</si>
  <si>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</si>
  <si>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</si>
  <si>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</si>
  <si>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35.03.09</t>
  </si>
  <si>
    <t>35.03.10</t>
  </si>
  <si>
    <t>Ландшафтная архитектура</t>
  </si>
  <si>
    <t>35.04.09</t>
  </si>
  <si>
    <t>36.00.00</t>
  </si>
  <si>
    <t>ВЕТЕРИНАРИЯ И ЗООТЕХНИЯ</t>
  </si>
  <si>
    <t>36.02.01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</si>
  <si>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</si>
  <si>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</si>
  <si>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</si>
  <si>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</si>
  <si>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</si>
  <si>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</si>
  <si>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</si>
  <si>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</si>
  <si>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</si>
  <si>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</si>
  <si>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</si>
  <si>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</si>
  <si>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</si>
  <si>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</si>
  <si>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</si>
  <si>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</si>
  <si>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</si>
  <si>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</si>
  <si>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</si>
  <si>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</si>
  <si>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</si>
  <si>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</si>
  <si>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</si>
  <si>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</si>
  <si>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</si>
  <si>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</si>
  <si>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</si>
  <si>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</si>
  <si>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</si>
  <si>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</si>
  <si>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</si>
  <si>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</si>
  <si>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</si>
  <si>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</si>
  <si>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</si>
  <si>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</si>
  <si>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</si>
  <si>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</si>
  <si>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</si>
  <si>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</si>
  <si>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</si>
  <si>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</si>
  <si>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</si>
  <si>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</si>
  <si>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</si>
  <si>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</si>
  <si>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</si>
  <si>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</si>
  <si>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</si>
  <si>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</si>
  <si>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</si>
  <si>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</si>
  <si>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</si>
  <si>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</si>
  <si>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38.05.01</t>
  </si>
  <si>
    <t>Экономическая безопасность</t>
  </si>
  <si>
    <t>38.05.02</t>
  </si>
  <si>
    <t>Таможенное дело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</si>
  <si>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</si>
  <si>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</si>
  <si>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</si>
  <si>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</si>
  <si>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</si>
  <si>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</si>
  <si>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</si>
  <si>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39.04.01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</si>
  <si>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</si>
  <si>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</si>
  <si>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</si>
  <si>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</si>
  <si>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</si>
  <si>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</si>
  <si>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</si>
  <si>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</si>
  <si>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</si>
  <si>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</si>
  <si>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</si>
  <si>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</si>
  <si>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</si>
  <si>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</si>
  <si>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</si>
  <si>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</si>
  <si>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</si>
  <si>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</si>
  <si>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</si>
  <si>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</si>
  <si>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</si>
  <si>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</si>
  <si>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</si>
  <si>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</si>
  <si>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</si>
  <si>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</si>
  <si>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</si>
  <si>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</si>
  <si>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</si>
  <si>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</si>
  <si>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</si>
  <si>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</si>
  <si>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</si>
  <si>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</si>
  <si>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</si>
  <si>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</si>
  <si>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</si>
  <si>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</si>
  <si>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</si>
  <si>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</si>
  <si>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</si>
  <si>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</si>
  <si>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</si>
  <si>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</si>
  <si>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</si>
  <si>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</si>
  <si>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</si>
  <si>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</si>
  <si>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</si>
  <si>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</si>
  <si>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</si>
  <si>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</si>
  <si>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</si>
  <si>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</si>
  <si>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</si>
  <si>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</si>
  <si>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</si>
  <si>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</si>
  <si>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</si>
  <si>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</si>
  <si>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</si>
  <si>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</si>
  <si>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</si>
  <si>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</si>
  <si>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</si>
  <si>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</si>
  <si>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</si>
  <si>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43.02.15</t>
  </si>
  <si>
    <t>Поварское и кондитерское дело</t>
  </si>
  <si>
    <t>43.02.16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</si>
  <si>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</si>
  <si>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</si>
  <si>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</si>
  <si>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</si>
  <si>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</si>
  <si>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</si>
  <si>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</si>
  <si>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</si>
  <si>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</si>
  <si>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</si>
  <si>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</si>
  <si>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</si>
  <si>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</si>
  <si>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</si>
  <si>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</si>
  <si>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</si>
  <si>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</si>
  <si>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</si>
  <si>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</si>
  <si>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</si>
  <si>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</si>
  <si>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</si>
  <si>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</si>
  <si>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</si>
  <si>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</si>
  <si>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</si>
  <si>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</si>
  <si>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</si>
  <si>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</si>
  <si>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</si>
  <si>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</si>
  <si>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</si>
  <si>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</si>
  <si>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</si>
  <si>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</si>
  <si>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</si>
  <si>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</si>
  <si>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</si>
  <si>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46.03.02</t>
  </si>
  <si>
    <t>Документоведение и архивоведение</t>
  </si>
  <si>
    <t>46.04.02</t>
  </si>
  <si>
    <t>49.00.00</t>
  </si>
  <si>
    <t>ФИЗИЧЕСКАЯ КУЛЬТУРА И СПОРТ</t>
  </si>
  <si>
    <t>49.02.01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</si>
  <si>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</si>
  <si>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</si>
  <si>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</si>
  <si>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</si>
  <si>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</si>
  <si>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</si>
  <si>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54.00.00</t>
  </si>
  <si>
    <t>ИЗОБРАЗИТЕЛЬНОЕ И ПРИКЛАДНЫЕ ВИДЫ ИСКУССТВ</t>
  </si>
  <si>
    <t>54.01.20</t>
  </si>
  <si>
    <t>Графический дизайнер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</si>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</sst>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B731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5" width="10.5" style="1" customWidth="1"/>
    <col min="26" max="26" width="14.1640625" style="1" customWidth="1"/>
    <col min="27" max="28" width="10.5" style="1" customWidth="1"/>
  </cols>
  <sheetData>
    <row r="1" spans="1:28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8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8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8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8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8" s="1" customFormat="1" ht="11.1" customHeight="1"/>
    <row r="7" spans="1:28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33</v>
      </c>
    </row>
    <row r="8" spans="1:28" s="4" customFormat="1" ht="51.95" customHeight="1">
      <c r="A8" s="5">
        <v>0</v>
      </c>
      <c r="B8" s="6" t="s">
        <v>34</v>
      </c>
      <c r="C8" s="7">
        <v>2240</v>
      </c>
      <c r="D8" s="8" t="s">
        <v>35</v>
      </c>
      <c r="E8" s="8" t="s">
        <v>36</v>
      </c>
      <c r="F8" s="8" t="s">
        <v>37</v>
      </c>
      <c r="G8" s="6" t="s">
        <v>38</v>
      </c>
      <c r="H8" s="6" t="s">
        <v>39</v>
      </c>
      <c r="I8" s="8" t="s">
        <v>40</v>
      </c>
      <c r="J8" s="9">
        <v>1</v>
      </c>
      <c r="K8" s="9">
        <v>383</v>
      </c>
      <c r="L8" s="9">
        <v>2023</v>
      </c>
      <c r="M8" s="8" t="s">
        <v>41</v>
      </c>
      <c r="N8" s="8" t="s">
        <v>42</v>
      </c>
      <c r="O8" s="8" t="s">
        <v>43</v>
      </c>
      <c r="P8" s="6" t="s">
        <v>44</v>
      </c>
      <c r="Q8" s="8" t="s">
        <v>45</v>
      </c>
      <c r="R8" s="10" t="s">
        <v>46</v>
      </c>
      <c r="S8" s="11" t="s">
        <v>47</v>
      </c>
      <c r="T8" s="6"/>
      <c r="U8" s="27" t="str">
        <f>HYPERLINK("https://media.infra-m.ru/1921/1921403/cover/1921403.jpg", "Обложка")</f>
        <v>Обложка</v>
      </c>
      <c r="V8" s="27" t="str">
        <f>HYPERLINK("https://znanium.ru/catalog/product/1921403", "Ознакомиться")</f>
        <v>Ознакомиться</v>
      </c>
      <c r="W8" s="8" t="s">
        <v>48</v>
      </c>
      <c r="X8" s="6"/>
      <c r="Y8" s="6" t="s">
        <v>30</v>
      </c>
      <c r="Z8" s="6"/>
      <c r="AA8" s="6"/>
      <c r="AB8" s="6" t="s">
        <v>49</v>
      </c>
    </row>
    <row r="9" spans="1:28" s="4" customFormat="1" ht="51.95" customHeight="1">
      <c r="A9" s="5">
        <v>0</v>
      </c>
      <c r="B9" s="6" t="s">
        <v>50</v>
      </c>
      <c r="C9" s="7">
        <v>1220</v>
      </c>
      <c r="D9" s="8" t="s">
        <v>51</v>
      </c>
      <c r="E9" s="8" t="s">
        <v>52</v>
      </c>
      <c r="F9" s="8" t="s">
        <v>53</v>
      </c>
      <c r="G9" s="6" t="s">
        <v>38</v>
      </c>
      <c r="H9" s="6" t="s">
        <v>54</v>
      </c>
      <c r="I9" s="8" t="s">
        <v>40</v>
      </c>
      <c r="J9" s="9">
        <v>1</v>
      </c>
      <c r="K9" s="9">
        <v>264</v>
      </c>
      <c r="L9" s="9">
        <v>2023</v>
      </c>
      <c r="M9" s="8" t="s">
        <v>55</v>
      </c>
      <c r="N9" s="8" t="s">
        <v>56</v>
      </c>
      <c r="O9" s="8" t="s">
        <v>57</v>
      </c>
      <c r="P9" s="6" t="s">
        <v>58</v>
      </c>
      <c r="Q9" s="8" t="s">
        <v>45</v>
      </c>
      <c r="R9" s="10" t="s">
        <v>59</v>
      </c>
      <c r="S9" s="11" t="s">
        <v>60</v>
      </c>
      <c r="T9" s="6"/>
      <c r="U9" s="27" t="str">
        <f>HYPERLINK("https://media.infra-m.ru/2084/2084723/cover/2084723.jpg", "Обложка")</f>
        <v>Обложка</v>
      </c>
      <c r="V9" s="27" t="str">
        <f>HYPERLINK("https://znanium.ru/catalog/product/1912943", "Ознакомиться")</f>
        <v>Ознакомиться</v>
      </c>
      <c r="W9" s="8" t="s">
        <v>61</v>
      </c>
      <c r="X9" s="6"/>
      <c r="Y9" s="6" t="s">
        <v>30</v>
      </c>
      <c r="Z9" s="6"/>
      <c r="AA9" s="6"/>
      <c r="AB9" s="6" t="s">
        <v>62</v>
      </c>
    </row>
    <row r="10" spans="1:28" s="4" customFormat="1" ht="51.95" customHeight="1">
      <c r="A10" s="5">
        <v>0</v>
      </c>
      <c r="B10" s="6" t="s">
        <v>63</v>
      </c>
      <c r="C10" s="7">
        <v>1034</v>
      </c>
      <c r="D10" s="8" t="s">
        <v>64</v>
      </c>
      <c r="E10" s="8" t="s">
        <v>65</v>
      </c>
      <c r="F10" s="8" t="s">
        <v>66</v>
      </c>
      <c r="G10" s="6" t="s">
        <v>38</v>
      </c>
      <c r="H10" s="6" t="s">
        <v>39</v>
      </c>
      <c r="I10" s="8" t="s">
        <v>40</v>
      </c>
      <c r="J10" s="9">
        <v>1</v>
      </c>
      <c r="K10" s="9">
        <v>224</v>
      </c>
      <c r="L10" s="9">
        <v>2024</v>
      </c>
      <c r="M10" s="8" t="s">
        <v>67</v>
      </c>
      <c r="N10" s="8" t="s">
        <v>56</v>
      </c>
      <c r="O10" s="8" t="s">
        <v>57</v>
      </c>
      <c r="P10" s="6" t="s">
        <v>58</v>
      </c>
      <c r="Q10" s="8" t="s">
        <v>45</v>
      </c>
      <c r="R10" s="10" t="s">
        <v>68</v>
      </c>
      <c r="S10" s="11" t="s">
        <v>69</v>
      </c>
      <c r="T10" s="6"/>
      <c r="U10" s="27" t="str">
        <f>HYPERLINK("https://media.infra-m.ru/2103/2103176/cover/2103176.jpg", "Обложка")</f>
        <v>Обложка</v>
      </c>
      <c r="V10" s="27" t="str">
        <f>HYPERLINK("https://znanium.ru/catalog/product/1117207", "Ознакомиться")</f>
        <v>Ознакомиться</v>
      </c>
      <c r="W10" s="8" t="s">
        <v>70</v>
      </c>
      <c r="X10" s="6"/>
      <c r="Y10" s="6" t="s">
        <v>30</v>
      </c>
      <c r="Z10" s="6"/>
      <c r="AA10" s="6" t="s">
        <v>71</v>
      </c>
      <c r="AB10" s="6" t="s">
        <v>72</v>
      </c>
    </row>
    <row r="11" spans="1:28" s="4" customFormat="1" ht="51.95" customHeight="1">
      <c r="A11" s="5">
        <v>0</v>
      </c>
      <c r="B11" s="6" t="s">
        <v>73</v>
      </c>
      <c r="C11" s="7">
        <v>1010</v>
      </c>
      <c r="D11" s="8" t="s">
        <v>74</v>
      </c>
      <c r="E11" s="8" t="s">
        <v>65</v>
      </c>
      <c r="F11" s="8" t="s">
        <v>75</v>
      </c>
      <c r="G11" s="6" t="s">
        <v>76</v>
      </c>
      <c r="H11" s="6" t="s">
        <v>39</v>
      </c>
      <c r="I11" s="8" t="s">
        <v>77</v>
      </c>
      <c r="J11" s="9">
        <v>1</v>
      </c>
      <c r="K11" s="9">
        <v>224</v>
      </c>
      <c r="L11" s="9">
        <v>2023</v>
      </c>
      <c r="M11" s="8" t="s">
        <v>78</v>
      </c>
      <c r="N11" s="8" t="s">
        <v>56</v>
      </c>
      <c r="O11" s="8" t="s">
        <v>57</v>
      </c>
      <c r="P11" s="6" t="s">
        <v>58</v>
      </c>
      <c r="Q11" s="8" t="s">
        <v>79</v>
      </c>
      <c r="R11" s="10" t="s">
        <v>80</v>
      </c>
      <c r="S11" s="11" t="s">
        <v>81</v>
      </c>
      <c r="T11" s="6"/>
      <c r="U11" s="27" t="str">
        <f>HYPERLINK("https://media.infra-m.ru/1971/1971876/cover/1971876.jpg", "Обложка")</f>
        <v>Обложка</v>
      </c>
      <c r="V11" s="27" t="str">
        <f>HYPERLINK("https://znanium.ru/catalog/product/1971876", "Ознакомиться")</f>
        <v>Ознакомиться</v>
      </c>
      <c r="W11" s="8" t="s">
        <v>70</v>
      </c>
      <c r="X11" s="6"/>
      <c r="Y11" s="6" t="s">
        <v>30</v>
      </c>
      <c r="Z11" s="6"/>
      <c r="AA11" s="6"/>
      <c r="AB11" s="6" t="s">
        <v>82</v>
      </c>
    </row>
    <row r="12" spans="1:28" s="4" customFormat="1" ht="51.95" customHeight="1">
      <c r="A12" s="5">
        <v>0</v>
      </c>
      <c r="B12" s="6" t="s">
        <v>83</v>
      </c>
      <c r="C12" s="13">
        <v>750</v>
      </c>
      <c r="D12" s="8" t="s">
        <v>84</v>
      </c>
      <c r="E12" s="8" t="s">
        <v>85</v>
      </c>
      <c r="F12" s="8" t="s">
        <v>86</v>
      </c>
      <c r="G12" s="6" t="s">
        <v>38</v>
      </c>
      <c r="H12" s="6" t="s">
        <v>39</v>
      </c>
      <c r="I12" s="8" t="s">
        <v>77</v>
      </c>
      <c r="J12" s="9">
        <v>1</v>
      </c>
      <c r="K12" s="9">
        <v>193</v>
      </c>
      <c r="L12" s="9">
        <v>2022</v>
      </c>
      <c r="M12" s="8" t="s">
        <v>87</v>
      </c>
      <c r="N12" s="8" t="s">
        <v>56</v>
      </c>
      <c r="O12" s="8" t="s">
        <v>57</v>
      </c>
      <c r="P12" s="6" t="s">
        <v>58</v>
      </c>
      <c r="Q12" s="8" t="s">
        <v>88</v>
      </c>
      <c r="R12" s="10" t="s">
        <v>89</v>
      </c>
      <c r="S12" s="11" t="s">
        <v>90</v>
      </c>
      <c r="T12" s="6"/>
      <c r="U12" s="27" t="str">
        <f>HYPERLINK("https://media.infra-m.ru/0978/0978917/cover/978917.jpg", "Обложка")</f>
        <v>Обложка</v>
      </c>
      <c r="V12" s="27" t="str">
        <f>HYPERLINK("https://znanium.ru/catalog/product/978917", "Ознакомиться")</f>
        <v>Ознакомиться</v>
      </c>
      <c r="W12" s="8" t="s">
        <v>91</v>
      </c>
      <c r="X12" s="6"/>
      <c r="Y12" s="6" t="s">
        <v>30</v>
      </c>
      <c r="Z12" s="6"/>
      <c r="AA12" s="6"/>
      <c r="AB12" s="6" t="s">
        <v>92</v>
      </c>
    </row>
    <row r="13" spans="1:28" s="4" customFormat="1" ht="42" customHeight="1">
      <c r="A13" s="5">
        <v>0</v>
      </c>
      <c r="B13" s="6" t="s">
        <v>93</v>
      </c>
      <c r="C13" s="13">
        <v>884</v>
      </c>
      <c r="D13" s="8" t="s">
        <v>94</v>
      </c>
      <c r="E13" s="8" t="s">
        <v>95</v>
      </c>
      <c r="F13" s="8" t="s">
        <v>96</v>
      </c>
      <c r="G13" s="6" t="s">
        <v>76</v>
      </c>
      <c r="H13" s="6" t="s">
        <v>39</v>
      </c>
      <c r="I13" s="8" t="s">
        <v>77</v>
      </c>
      <c r="J13" s="9">
        <v>1</v>
      </c>
      <c r="K13" s="9">
        <v>192</v>
      </c>
      <c r="L13" s="9">
        <v>2022</v>
      </c>
      <c r="M13" s="8" t="s">
        <v>97</v>
      </c>
      <c r="N13" s="8" t="s">
        <v>56</v>
      </c>
      <c r="O13" s="8" t="s">
        <v>57</v>
      </c>
      <c r="P13" s="6" t="s">
        <v>58</v>
      </c>
      <c r="Q13" s="8" t="s">
        <v>79</v>
      </c>
      <c r="R13" s="10" t="s">
        <v>89</v>
      </c>
      <c r="S13" s="11"/>
      <c r="T13" s="6"/>
      <c r="U13" s="27" t="str">
        <f>HYPERLINK("https://media.infra-m.ru/1817/1817877/cover/1817877.jpg", "Обложка")</f>
        <v>Обложка</v>
      </c>
      <c r="V13" s="27" t="str">
        <f>HYPERLINK("https://znanium.ru/catalog/product/978917", "Ознакомиться")</f>
        <v>Ознакомиться</v>
      </c>
      <c r="W13" s="8" t="s">
        <v>91</v>
      </c>
      <c r="X13" s="6"/>
      <c r="Y13" s="6" t="s">
        <v>30</v>
      </c>
      <c r="Z13" s="6"/>
      <c r="AA13" s="6"/>
      <c r="AB13" s="6" t="s">
        <v>98</v>
      </c>
    </row>
    <row r="14" spans="1:28" s="4" customFormat="1" ht="51.95" customHeight="1">
      <c r="A14" s="5">
        <v>0</v>
      </c>
      <c r="B14" s="6" t="s">
        <v>99</v>
      </c>
      <c r="C14" s="7">
        <v>1524</v>
      </c>
      <c r="D14" s="8" t="s">
        <v>100</v>
      </c>
      <c r="E14" s="8" t="s">
        <v>101</v>
      </c>
      <c r="F14" s="8" t="s">
        <v>102</v>
      </c>
      <c r="G14" s="6" t="s">
        <v>38</v>
      </c>
      <c r="H14" s="6" t="s">
        <v>54</v>
      </c>
      <c r="I14" s="8" t="s">
        <v>40</v>
      </c>
      <c r="J14" s="9">
        <v>1</v>
      </c>
      <c r="K14" s="9">
        <v>329</v>
      </c>
      <c r="L14" s="9">
        <v>2024</v>
      </c>
      <c r="M14" s="8" t="s">
        <v>103</v>
      </c>
      <c r="N14" s="8" t="s">
        <v>56</v>
      </c>
      <c r="O14" s="8" t="s">
        <v>104</v>
      </c>
      <c r="P14" s="6" t="s">
        <v>58</v>
      </c>
      <c r="Q14" s="8" t="s">
        <v>45</v>
      </c>
      <c r="R14" s="10" t="s">
        <v>105</v>
      </c>
      <c r="S14" s="11" t="s">
        <v>106</v>
      </c>
      <c r="T14" s="6"/>
      <c r="U14" s="27" t="str">
        <f>HYPERLINK("https://media.infra-m.ru/2101/2101498/cover/2101498.jpg", "Обложка")</f>
        <v>Обложка</v>
      </c>
      <c r="V14" s="27" t="str">
        <f>HYPERLINK("https://znanium.ru/catalog/product/1854230", "Ознакомиться")</f>
        <v>Ознакомиться</v>
      </c>
      <c r="W14" s="8" t="s">
        <v>107</v>
      </c>
      <c r="X14" s="6"/>
      <c r="Y14" s="6" t="s">
        <v>30</v>
      </c>
      <c r="Z14" s="6"/>
      <c r="AA14" s="6"/>
      <c r="AB14" s="6" t="s">
        <v>108</v>
      </c>
    </row>
    <row r="15" spans="1:28" s="4" customFormat="1" ht="51.95" customHeight="1">
      <c r="A15" s="5">
        <v>0</v>
      </c>
      <c r="B15" s="6" t="s">
        <v>109</v>
      </c>
      <c r="C15" s="7">
        <v>1010</v>
      </c>
      <c r="D15" s="8" t="s">
        <v>110</v>
      </c>
      <c r="E15" s="8" t="s">
        <v>111</v>
      </c>
      <c r="F15" s="8" t="s">
        <v>112</v>
      </c>
      <c r="G15" s="6" t="s">
        <v>38</v>
      </c>
      <c r="H15" s="6" t="s">
        <v>113</v>
      </c>
      <c r="I15" s="8" t="s">
        <v>114</v>
      </c>
      <c r="J15" s="9">
        <v>1</v>
      </c>
      <c r="K15" s="9">
        <v>223</v>
      </c>
      <c r="L15" s="9">
        <v>2023</v>
      </c>
      <c r="M15" s="8" t="s">
        <v>115</v>
      </c>
      <c r="N15" s="8" t="s">
        <v>56</v>
      </c>
      <c r="O15" s="8" t="s">
        <v>116</v>
      </c>
      <c r="P15" s="6" t="s">
        <v>58</v>
      </c>
      <c r="Q15" s="8" t="s">
        <v>45</v>
      </c>
      <c r="R15" s="10" t="s">
        <v>117</v>
      </c>
      <c r="S15" s="11" t="s">
        <v>118</v>
      </c>
      <c r="T15" s="6"/>
      <c r="U15" s="27" t="str">
        <f>HYPERLINK("https://media.infra-m.ru/1937/1937950/cover/1937950.jpg", "Обложка")</f>
        <v>Обложка</v>
      </c>
      <c r="V15" s="27" t="str">
        <f>HYPERLINK("https://znanium.ru/catalog/product/1937950", "Ознакомиться")</f>
        <v>Ознакомиться</v>
      </c>
      <c r="W15" s="8" t="s">
        <v>119</v>
      </c>
      <c r="X15" s="6"/>
      <c r="Y15" s="6" t="s">
        <v>30</v>
      </c>
      <c r="Z15" s="6"/>
      <c r="AA15" s="6"/>
      <c r="AB15" s="6" t="s">
        <v>120</v>
      </c>
    </row>
    <row r="16" spans="1:28" s="4" customFormat="1" ht="51.95" customHeight="1">
      <c r="A16" s="5">
        <v>0</v>
      </c>
      <c r="B16" s="6" t="s">
        <v>121</v>
      </c>
      <c r="C16" s="7">
        <v>1610</v>
      </c>
      <c r="D16" s="8" t="s">
        <v>122</v>
      </c>
      <c r="E16" s="8" t="s">
        <v>123</v>
      </c>
      <c r="F16" s="8" t="s">
        <v>124</v>
      </c>
      <c r="G16" s="6" t="s">
        <v>38</v>
      </c>
      <c r="H16" s="6" t="s">
        <v>54</v>
      </c>
      <c r="I16" s="8" t="s">
        <v>40</v>
      </c>
      <c r="J16" s="9">
        <v>1</v>
      </c>
      <c r="K16" s="9">
        <v>350</v>
      </c>
      <c r="L16" s="9">
        <v>2024</v>
      </c>
      <c r="M16" s="8" t="s">
        <v>125</v>
      </c>
      <c r="N16" s="8" t="s">
        <v>56</v>
      </c>
      <c r="O16" s="8" t="s">
        <v>126</v>
      </c>
      <c r="P16" s="6" t="s">
        <v>44</v>
      </c>
      <c r="Q16" s="8" t="s">
        <v>45</v>
      </c>
      <c r="R16" s="10" t="s">
        <v>127</v>
      </c>
      <c r="S16" s="11" t="s">
        <v>128</v>
      </c>
      <c r="T16" s="6"/>
      <c r="U16" s="27" t="str">
        <f>HYPERLINK("https://media.infra-m.ru/1869/1869167/cover/1869167.jpg", "Обложка")</f>
        <v>Обложка</v>
      </c>
      <c r="V16" s="27" t="str">
        <f>HYPERLINK("https://znanium.ru/catalog/product/1869167", "Ознакомиться")</f>
        <v>Ознакомиться</v>
      </c>
      <c r="W16" s="8" t="s">
        <v>129</v>
      </c>
      <c r="X16" s="6"/>
      <c r="Y16" s="6" t="s">
        <v>30</v>
      </c>
      <c r="Z16" s="6"/>
      <c r="AA16" s="6" t="s">
        <v>71</v>
      </c>
      <c r="AB16" s="6" t="s">
        <v>130</v>
      </c>
    </row>
    <row r="17" spans="1:28" s="4" customFormat="1" ht="44.1" customHeight="1">
      <c r="A17" s="5">
        <v>0</v>
      </c>
      <c r="B17" s="6" t="s">
        <v>131</v>
      </c>
      <c r="C17" s="7">
        <v>1250</v>
      </c>
      <c r="D17" s="8" t="s">
        <v>132</v>
      </c>
      <c r="E17" s="8" t="s">
        <v>133</v>
      </c>
      <c r="F17" s="8" t="s">
        <v>134</v>
      </c>
      <c r="G17" s="6" t="s">
        <v>38</v>
      </c>
      <c r="H17" s="6" t="s">
        <v>135</v>
      </c>
      <c r="I17" s="8" t="s">
        <v>114</v>
      </c>
      <c r="J17" s="9">
        <v>1</v>
      </c>
      <c r="K17" s="9">
        <v>264</v>
      </c>
      <c r="L17" s="9">
        <v>2024</v>
      </c>
      <c r="M17" s="8" t="s">
        <v>136</v>
      </c>
      <c r="N17" s="8" t="s">
        <v>137</v>
      </c>
      <c r="O17" s="8" t="s">
        <v>138</v>
      </c>
      <c r="P17" s="6" t="s">
        <v>44</v>
      </c>
      <c r="Q17" s="8" t="s">
        <v>45</v>
      </c>
      <c r="R17" s="10" t="s">
        <v>139</v>
      </c>
      <c r="S17" s="11"/>
      <c r="T17" s="6"/>
      <c r="U17" s="27" t="str">
        <f>HYPERLINK("https://media.infra-m.ru/2135/2135361/cover/2135361.jpg", "Обложка")</f>
        <v>Обложка</v>
      </c>
      <c r="V17" s="27" t="str">
        <f>HYPERLINK("https://znanium.ru/catalog/product/2135361", "Ознакомиться")</f>
        <v>Ознакомиться</v>
      </c>
      <c r="W17" s="8" t="s">
        <v>140</v>
      </c>
      <c r="X17" s="6"/>
      <c r="Y17" s="6" t="s">
        <v>30</v>
      </c>
      <c r="Z17" s="6"/>
      <c r="AA17" s="6"/>
      <c r="AB17" s="6" t="s">
        <v>141</v>
      </c>
    </row>
    <row r="18" spans="1:28" s="4" customFormat="1" ht="51.95" customHeight="1">
      <c r="A18" s="5">
        <v>0</v>
      </c>
      <c r="B18" s="6" t="s">
        <v>142</v>
      </c>
      <c r="C18" s="7">
        <v>1764</v>
      </c>
      <c r="D18" s="8" t="s">
        <v>143</v>
      </c>
      <c r="E18" s="8" t="s">
        <v>144</v>
      </c>
      <c r="F18" s="8" t="s">
        <v>145</v>
      </c>
      <c r="G18" s="6" t="s">
        <v>38</v>
      </c>
      <c r="H18" s="6" t="s">
        <v>54</v>
      </c>
      <c r="I18" s="8" t="s">
        <v>40</v>
      </c>
      <c r="J18" s="9">
        <v>1</v>
      </c>
      <c r="K18" s="9">
        <v>374</v>
      </c>
      <c r="L18" s="9">
        <v>2024</v>
      </c>
      <c r="M18" s="8" t="s">
        <v>146</v>
      </c>
      <c r="N18" s="8" t="s">
        <v>137</v>
      </c>
      <c r="O18" s="8" t="s">
        <v>138</v>
      </c>
      <c r="P18" s="6" t="s">
        <v>44</v>
      </c>
      <c r="Q18" s="8" t="s">
        <v>45</v>
      </c>
      <c r="R18" s="10" t="s">
        <v>147</v>
      </c>
      <c r="S18" s="11" t="s">
        <v>148</v>
      </c>
      <c r="T18" s="6"/>
      <c r="U18" s="27" t="str">
        <f>HYPERLINK("https://media.infra-m.ru/2150/2150168/cover/2150168.jpg", "Обложка")</f>
        <v>Обложка</v>
      </c>
      <c r="V18" s="27" t="str">
        <f>HYPERLINK("https://znanium.ru/catalog/product/2138998", "Ознакомиться")</f>
        <v>Ознакомиться</v>
      </c>
      <c r="W18" s="8" t="s">
        <v>149</v>
      </c>
      <c r="X18" s="6"/>
      <c r="Y18" s="6" t="s">
        <v>30</v>
      </c>
      <c r="Z18" s="6"/>
      <c r="AA18" s="6" t="s">
        <v>71</v>
      </c>
      <c r="AB18" s="6" t="s">
        <v>150</v>
      </c>
    </row>
    <row r="19" spans="1:28" s="4" customFormat="1" ht="51.95" customHeight="1">
      <c r="A19" s="5">
        <v>0</v>
      </c>
      <c r="B19" s="6" t="s">
        <v>151</v>
      </c>
      <c r="C19" s="13">
        <v>970</v>
      </c>
      <c r="D19" s="8" t="s">
        <v>152</v>
      </c>
      <c r="E19" s="8" t="s">
        <v>153</v>
      </c>
      <c r="F19" s="8" t="s">
        <v>154</v>
      </c>
      <c r="G19" s="6" t="s">
        <v>38</v>
      </c>
      <c r="H19" s="6" t="s">
        <v>39</v>
      </c>
      <c r="I19" s="8" t="s">
        <v>155</v>
      </c>
      <c r="J19" s="9">
        <v>1</v>
      </c>
      <c r="K19" s="9">
        <v>208</v>
      </c>
      <c r="L19" s="9">
        <v>2024</v>
      </c>
      <c r="M19" s="8" t="s">
        <v>156</v>
      </c>
      <c r="N19" s="8" t="s">
        <v>137</v>
      </c>
      <c r="O19" s="8" t="s">
        <v>138</v>
      </c>
      <c r="P19" s="6" t="s">
        <v>58</v>
      </c>
      <c r="Q19" s="8" t="s">
        <v>45</v>
      </c>
      <c r="R19" s="10" t="s">
        <v>157</v>
      </c>
      <c r="S19" s="11" t="s">
        <v>158</v>
      </c>
      <c r="T19" s="6"/>
      <c r="U19" s="27" t="str">
        <f>HYPERLINK("https://media.infra-m.ru/2054/2054997/cover/2054997.jpg", "Обложка")</f>
        <v>Обложка</v>
      </c>
      <c r="V19" s="27" t="str">
        <f>HYPERLINK("https://znanium.ru/catalog/product/2054997", "Ознакомиться")</f>
        <v>Ознакомиться</v>
      </c>
      <c r="W19" s="8" t="s">
        <v>159</v>
      </c>
      <c r="X19" s="6"/>
      <c r="Y19" s="6" t="s">
        <v>30</v>
      </c>
      <c r="Z19" s="6"/>
      <c r="AA19" s="6"/>
      <c r="AB19" s="6" t="s">
        <v>160</v>
      </c>
    </row>
    <row r="20" spans="1:28" s="4" customFormat="1" ht="51.95" customHeight="1">
      <c r="A20" s="5">
        <v>0</v>
      </c>
      <c r="B20" s="6" t="s">
        <v>161</v>
      </c>
      <c r="C20" s="7">
        <v>1184</v>
      </c>
      <c r="D20" s="8" t="s">
        <v>162</v>
      </c>
      <c r="E20" s="8" t="s">
        <v>163</v>
      </c>
      <c r="F20" s="8" t="s">
        <v>164</v>
      </c>
      <c r="G20" s="6" t="s">
        <v>38</v>
      </c>
      <c r="H20" s="6" t="s">
        <v>54</v>
      </c>
      <c r="I20" s="8" t="s">
        <v>40</v>
      </c>
      <c r="J20" s="9">
        <v>1</v>
      </c>
      <c r="K20" s="9">
        <v>256</v>
      </c>
      <c r="L20" s="9">
        <v>2024</v>
      </c>
      <c r="M20" s="8" t="s">
        <v>165</v>
      </c>
      <c r="N20" s="8" t="s">
        <v>137</v>
      </c>
      <c r="O20" s="8" t="s">
        <v>138</v>
      </c>
      <c r="P20" s="6" t="s">
        <v>58</v>
      </c>
      <c r="Q20" s="8" t="s">
        <v>45</v>
      </c>
      <c r="R20" s="10" t="s">
        <v>166</v>
      </c>
      <c r="S20" s="11" t="s">
        <v>167</v>
      </c>
      <c r="T20" s="6"/>
      <c r="U20" s="27" t="str">
        <f>HYPERLINK("https://media.infra-m.ru/2104/2104813/cover/2104813.jpg", "Обложка")</f>
        <v>Обложка</v>
      </c>
      <c r="V20" s="27" t="str">
        <f>HYPERLINK("https://znanium.ru/catalog/product/1036527", "Ознакомиться")</f>
        <v>Ознакомиться</v>
      </c>
      <c r="W20" s="8" t="s">
        <v>168</v>
      </c>
      <c r="X20" s="6"/>
      <c r="Y20" s="6" t="s">
        <v>30</v>
      </c>
      <c r="Z20" s="6"/>
      <c r="AA20" s="6" t="s">
        <v>71</v>
      </c>
      <c r="AB20" s="6" t="s">
        <v>141</v>
      </c>
    </row>
    <row r="21" spans="1:28" s="4" customFormat="1" ht="51.95" customHeight="1">
      <c r="A21" s="5">
        <v>0</v>
      </c>
      <c r="B21" s="6" t="s">
        <v>169</v>
      </c>
      <c r="C21" s="13">
        <v>824.9</v>
      </c>
      <c r="D21" s="8" t="s">
        <v>170</v>
      </c>
      <c r="E21" s="8" t="s">
        <v>171</v>
      </c>
      <c r="F21" s="8" t="s">
        <v>172</v>
      </c>
      <c r="G21" s="6" t="s">
        <v>173</v>
      </c>
      <c r="H21" s="6" t="s">
        <v>113</v>
      </c>
      <c r="I21" s="8" t="s">
        <v>114</v>
      </c>
      <c r="J21" s="9">
        <v>1</v>
      </c>
      <c r="K21" s="9">
        <v>288</v>
      </c>
      <c r="L21" s="9">
        <v>2018</v>
      </c>
      <c r="M21" s="8" t="s">
        <v>174</v>
      </c>
      <c r="N21" s="8" t="s">
        <v>137</v>
      </c>
      <c r="O21" s="8" t="s">
        <v>138</v>
      </c>
      <c r="P21" s="6" t="s">
        <v>58</v>
      </c>
      <c r="Q21" s="8" t="s">
        <v>45</v>
      </c>
      <c r="R21" s="10" t="s">
        <v>175</v>
      </c>
      <c r="S21" s="11" t="s">
        <v>176</v>
      </c>
      <c r="T21" s="6"/>
      <c r="U21" s="12"/>
      <c r="V21" s="27" t="str">
        <f>HYPERLINK("https://znanium.ru/catalog/product/2039079", "Ознакомиться")</f>
        <v>Ознакомиться</v>
      </c>
      <c r="W21" s="8" t="s">
        <v>159</v>
      </c>
      <c r="X21" s="6"/>
      <c r="Y21" s="6" t="s">
        <v>30</v>
      </c>
      <c r="Z21" s="6"/>
      <c r="AA21" s="6"/>
      <c r="AB21" s="6" t="s">
        <v>177</v>
      </c>
    </row>
    <row r="22" spans="1:28" s="4" customFormat="1" ht="51.95" customHeight="1">
      <c r="A22" s="5">
        <v>0</v>
      </c>
      <c r="B22" s="6" t="s">
        <v>178</v>
      </c>
      <c r="C22" s="7">
        <v>1350</v>
      </c>
      <c r="D22" s="8" t="s">
        <v>179</v>
      </c>
      <c r="E22" s="8" t="s">
        <v>171</v>
      </c>
      <c r="F22" s="8" t="s">
        <v>180</v>
      </c>
      <c r="G22" s="6" t="s">
        <v>76</v>
      </c>
      <c r="H22" s="6" t="s">
        <v>113</v>
      </c>
      <c r="I22" s="8" t="s">
        <v>114</v>
      </c>
      <c r="J22" s="9">
        <v>1</v>
      </c>
      <c r="K22" s="9">
        <v>288</v>
      </c>
      <c r="L22" s="9">
        <v>2024</v>
      </c>
      <c r="M22" s="8" t="s">
        <v>181</v>
      </c>
      <c r="N22" s="8" t="s">
        <v>137</v>
      </c>
      <c r="O22" s="8" t="s">
        <v>138</v>
      </c>
      <c r="P22" s="6" t="s">
        <v>58</v>
      </c>
      <c r="Q22" s="8" t="s">
        <v>45</v>
      </c>
      <c r="R22" s="10" t="s">
        <v>175</v>
      </c>
      <c r="S22" s="11" t="s">
        <v>182</v>
      </c>
      <c r="T22" s="6"/>
      <c r="U22" s="27" t="str">
        <f>HYPERLINK("https://media.infra-m.ru/2039/2039079/cover/2039079.jpg", "Обложка")</f>
        <v>Обложка</v>
      </c>
      <c r="V22" s="27" t="str">
        <f>HYPERLINK("https://znanium.ru/catalog/product/2039079", "Ознакомиться")</f>
        <v>Ознакомиться</v>
      </c>
      <c r="W22" s="8" t="s">
        <v>159</v>
      </c>
      <c r="X22" s="6"/>
      <c r="Y22" s="6" t="s">
        <v>30</v>
      </c>
      <c r="Z22" s="6"/>
      <c r="AA22" s="6"/>
      <c r="AB22" s="6" t="s">
        <v>177</v>
      </c>
    </row>
    <row r="23" spans="1:28" s="4" customFormat="1" ht="51.95" customHeight="1">
      <c r="A23" s="5">
        <v>0</v>
      </c>
      <c r="B23" s="6" t="s">
        <v>183</v>
      </c>
      <c r="C23" s="7">
        <v>1740</v>
      </c>
      <c r="D23" s="8" t="s">
        <v>184</v>
      </c>
      <c r="E23" s="8" t="s">
        <v>185</v>
      </c>
      <c r="F23" s="8" t="s">
        <v>186</v>
      </c>
      <c r="G23" s="6" t="s">
        <v>38</v>
      </c>
      <c r="H23" s="6" t="s">
        <v>54</v>
      </c>
      <c r="I23" s="8" t="s">
        <v>40</v>
      </c>
      <c r="J23" s="9">
        <v>1</v>
      </c>
      <c r="K23" s="9">
        <v>378</v>
      </c>
      <c r="L23" s="9">
        <v>2024</v>
      </c>
      <c r="M23" s="8" t="s">
        <v>187</v>
      </c>
      <c r="N23" s="8" t="s">
        <v>137</v>
      </c>
      <c r="O23" s="8" t="s">
        <v>138</v>
      </c>
      <c r="P23" s="6" t="s">
        <v>44</v>
      </c>
      <c r="Q23" s="8" t="s">
        <v>45</v>
      </c>
      <c r="R23" s="10" t="s">
        <v>188</v>
      </c>
      <c r="S23" s="11" t="s">
        <v>189</v>
      </c>
      <c r="T23" s="6"/>
      <c r="U23" s="27" t="str">
        <f>HYPERLINK("https://media.infra-m.ru/2116/2116858/cover/2116858.jpg", "Обложка")</f>
        <v>Обложка</v>
      </c>
      <c r="V23" s="27" t="str">
        <f>HYPERLINK("https://znanium.ru/catalog/product/2116858", "Ознакомиться")</f>
        <v>Ознакомиться</v>
      </c>
      <c r="W23" s="8" t="s">
        <v>190</v>
      </c>
      <c r="X23" s="6"/>
      <c r="Y23" s="6" t="s">
        <v>30</v>
      </c>
      <c r="Z23" s="6"/>
      <c r="AA23" s="6"/>
      <c r="AB23" s="6" t="s">
        <v>191</v>
      </c>
    </row>
    <row r="24" spans="1:28" s="4" customFormat="1" ht="51.95" customHeight="1">
      <c r="A24" s="5">
        <v>0</v>
      </c>
      <c r="B24" s="6" t="s">
        <v>192</v>
      </c>
      <c r="C24" s="7">
        <v>1030</v>
      </c>
      <c r="D24" s="8" t="s">
        <v>193</v>
      </c>
      <c r="E24" s="8" t="s">
        <v>194</v>
      </c>
      <c r="F24" s="8" t="s">
        <v>195</v>
      </c>
      <c r="G24" s="6" t="s">
        <v>38</v>
      </c>
      <c r="H24" s="6" t="s">
        <v>54</v>
      </c>
      <c r="I24" s="8" t="s">
        <v>40</v>
      </c>
      <c r="J24" s="9">
        <v>1</v>
      </c>
      <c r="K24" s="9">
        <v>223</v>
      </c>
      <c r="L24" s="9">
        <v>2024</v>
      </c>
      <c r="M24" s="8" t="s">
        <v>196</v>
      </c>
      <c r="N24" s="8" t="s">
        <v>42</v>
      </c>
      <c r="O24" s="8" t="s">
        <v>43</v>
      </c>
      <c r="P24" s="6" t="s">
        <v>58</v>
      </c>
      <c r="Q24" s="8" t="s">
        <v>45</v>
      </c>
      <c r="R24" s="10" t="s">
        <v>197</v>
      </c>
      <c r="S24" s="11" t="s">
        <v>198</v>
      </c>
      <c r="T24" s="6"/>
      <c r="U24" s="27" t="str">
        <f>HYPERLINK("https://media.infra-m.ru/2131/2131530/cover/2131530.jpg", "Обложка")</f>
        <v>Обложка</v>
      </c>
      <c r="V24" s="27" t="str">
        <f>HYPERLINK("https://znanium.ru/catalog/product/2131530", "Ознакомиться")</f>
        <v>Ознакомиться</v>
      </c>
      <c r="W24" s="8" t="s">
        <v>199</v>
      </c>
      <c r="X24" s="6"/>
      <c r="Y24" s="6" t="s">
        <v>30</v>
      </c>
      <c r="Z24" s="6"/>
      <c r="AA24" s="6" t="s">
        <v>71</v>
      </c>
      <c r="AB24" s="6" t="s">
        <v>141</v>
      </c>
    </row>
    <row r="25" spans="1:28" s="4" customFormat="1" ht="51.95" customHeight="1">
      <c r="A25" s="5">
        <v>0</v>
      </c>
      <c r="B25" s="6" t="s">
        <v>200</v>
      </c>
      <c r="C25" s="7">
        <v>1190</v>
      </c>
      <c r="D25" s="8" t="s">
        <v>201</v>
      </c>
      <c r="E25" s="8" t="s">
        <v>202</v>
      </c>
      <c r="F25" s="8" t="s">
        <v>203</v>
      </c>
      <c r="G25" s="6" t="s">
        <v>38</v>
      </c>
      <c r="H25" s="6" t="s">
        <v>54</v>
      </c>
      <c r="I25" s="8" t="s">
        <v>40</v>
      </c>
      <c r="J25" s="9">
        <v>1</v>
      </c>
      <c r="K25" s="9">
        <v>252</v>
      </c>
      <c r="L25" s="9">
        <v>2024</v>
      </c>
      <c r="M25" s="8" t="s">
        <v>204</v>
      </c>
      <c r="N25" s="8" t="s">
        <v>42</v>
      </c>
      <c r="O25" s="8" t="s">
        <v>43</v>
      </c>
      <c r="P25" s="6" t="s">
        <v>58</v>
      </c>
      <c r="Q25" s="8" t="s">
        <v>45</v>
      </c>
      <c r="R25" s="10" t="s">
        <v>205</v>
      </c>
      <c r="S25" s="11" t="s">
        <v>206</v>
      </c>
      <c r="T25" s="6"/>
      <c r="U25" s="27" t="str">
        <f>HYPERLINK("https://media.infra-m.ru/2104/2104118/cover/2104118.jpg", "Обложка")</f>
        <v>Обложка</v>
      </c>
      <c r="V25" s="27" t="str">
        <f>HYPERLINK("https://znanium.ru/catalog/product/2104118", "Ознакомиться")</f>
        <v>Ознакомиться</v>
      </c>
      <c r="W25" s="8" t="s">
        <v>207</v>
      </c>
      <c r="X25" s="6"/>
      <c r="Y25" s="6" t="s">
        <v>30</v>
      </c>
      <c r="Z25" s="6"/>
      <c r="AA25" s="6"/>
      <c r="AB25" s="6" t="s">
        <v>208</v>
      </c>
    </row>
    <row r="26" spans="1:28" s="4" customFormat="1" ht="51.95" customHeight="1">
      <c r="A26" s="5">
        <v>0</v>
      </c>
      <c r="B26" s="6" t="s">
        <v>209</v>
      </c>
      <c r="C26" s="13">
        <v>920</v>
      </c>
      <c r="D26" s="8" t="s">
        <v>210</v>
      </c>
      <c r="E26" s="8" t="s">
        <v>211</v>
      </c>
      <c r="F26" s="8" t="s">
        <v>195</v>
      </c>
      <c r="G26" s="6" t="s">
        <v>38</v>
      </c>
      <c r="H26" s="6" t="s">
        <v>54</v>
      </c>
      <c r="I26" s="8" t="s">
        <v>40</v>
      </c>
      <c r="J26" s="9">
        <v>1</v>
      </c>
      <c r="K26" s="9">
        <v>200</v>
      </c>
      <c r="L26" s="9">
        <v>2024</v>
      </c>
      <c r="M26" s="8" t="s">
        <v>212</v>
      </c>
      <c r="N26" s="8" t="s">
        <v>42</v>
      </c>
      <c r="O26" s="8" t="s">
        <v>43</v>
      </c>
      <c r="P26" s="6" t="s">
        <v>58</v>
      </c>
      <c r="Q26" s="8" t="s">
        <v>45</v>
      </c>
      <c r="R26" s="10" t="s">
        <v>213</v>
      </c>
      <c r="S26" s="11" t="s">
        <v>214</v>
      </c>
      <c r="T26" s="6"/>
      <c r="U26" s="27" t="str">
        <f>HYPERLINK("https://media.infra-m.ru/2128/2128443/cover/2128443.jpg", "Обложка")</f>
        <v>Обложка</v>
      </c>
      <c r="V26" s="27" t="str">
        <f>HYPERLINK("https://znanium.ru/catalog/product/2128443", "Ознакомиться")</f>
        <v>Ознакомиться</v>
      </c>
      <c r="W26" s="8" t="s">
        <v>199</v>
      </c>
      <c r="X26" s="6"/>
      <c r="Y26" s="6" t="s">
        <v>30</v>
      </c>
      <c r="Z26" s="6"/>
      <c r="AA26" s="6"/>
      <c r="AB26" s="6" t="s">
        <v>215</v>
      </c>
    </row>
    <row r="27" spans="1:28" s="4" customFormat="1" ht="51.95" customHeight="1">
      <c r="A27" s="5">
        <v>0</v>
      </c>
      <c r="B27" s="6" t="s">
        <v>216</v>
      </c>
      <c r="C27" s="7">
        <v>1530</v>
      </c>
      <c r="D27" s="8" t="s">
        <v>217</v>
      </c>
      <c r="E27" s="8" t="s">
        <v>218</v>
      </c>
      <c r="F27" s="8" t="s">
        <v>219</v>
      </c>
      <c r="G27" s="6" t="s">
        <v>38</v>
      </c>
      <c r="H27" s="6" t="s">
        <v>54</v>
      </c>
      <c r="I27" s="8" t="s">
        <v>40</v>
      </c>
      <c r="J27" s="9">
        <v>1</v>
      </c>
      <c r="K27" s="9">
        <v>319</v>
      </c>
      <c r="L27" s="9">
        <v>2024</v>
      </c>
      <c r="M27" s="8" t="s">
        <v>220</v>
      </c>
      <c r="N27" s="8" t="s">
        <v>42</v>
      </c>
      <c r="O27" s="8" t="s">
        <v>221</v>
      </c>
      <c r="P27" s="6" t="s">
        <v>44</v>
      </c>
      <c r="Q27" s="8" t="s">
        <v>45</v>
      </c>
      <c r="R27" s="10" t="s">
        <v>222</v>
      </c>
      <c r="S27" s="11" t="s">
        <v>223</v>
      </c>
      <c r="T27" s="6"/>
      <c r="U27" s="27" t="str">
        <f>HYPERLINK("https://media.infra-m.ru/2084/2084111/cover/2084111.jpg", "Обложка")</f>
        <v>Обложка</v>
      </c>
      <c r="V27" s="27" t="str">
        <f>HYPERLINK("https://znanium.ru/catalog/product/2084111", "Ознакомиться")</f>
        <v>Ознакомиться</v>
      </c>
      <c r="W27" s="8" t="s">
        <v>61</v>
      </c>
      <c r="X27" s="6"/>
      <c r="Y27" s="6" t="s">
        <v>30</v>
      </c>
      <c r="Z27" s="6"/>
      <c r="AA27" s="6"/>
      <c r="AB27" s="6" t="s">
        <v>224</v>
      </c>
    </row>
    <row r="28" spans="1:28" s="4" customFormat="1" ht="51.95" customHeight="1">
      <c r="A28" s="5">
        <v>0</v>
      </c>
      <c r="B28" s="6" t="s">
        <v>225</v>
      </c>
      <c r="C28" s="7">
        <v>1804</v>
      </c>
      <c r="D28" s="8" t="s">
        <v>226</v>
      </c>
      <c r="E28" s="8" t="s">
        <v>227</v>
      </c>
      <c r="F28" s="8" t="s">
        <v>228</v>
      </c>
      <c r="G28" s="6" t="s">
        <v>38</v>
      </c>
      <c r="H28" s="6" t="s">
        <v>229</v>
      </c>
      <c r="I28" s="8" t="s">
        <v>40</v>
      </c>
      <c r="J28" s="9">
        <v>1</v>
      </c>
      <c r="K28" s="9">
        <v>384</v>
      </c>
      <c r="L28" s="9">
        <v>2024</v>
      </c>
      <c r="M28" s="8" t="s">
        <v>230</v>
      </c>
      <c r="N28" s="8" t="s">
        <v>56</v>
      </c>
      <c r="O28" s="8" t="s">
        <v>231</v>
      </c>
      <c r="P28" s="6" t="s">
        <v>44</v>
      </c>
      <c r="Q28" s="8" t="s">
        <v>45</v>
      </c>
      <c r="R28" s="10" t="s">
        <v>232</v>
      </c>
      <c r="S28" s="11"/>
      <c r="T28" s="6"/>
      <c r="U28" s="27" t="str">
        <f>HYPERLINK("https://media.infra-m.ru/2151/2151383/cover/2151383.jpg", "Обложка")</f>
        <v>Обложка</v>
      </c>
      <c r="V28" s="27" t="str">
        <f>HYPERLINK("https://znanium.ru/catalog/product/1916205", "Ознакомиться")</f>
        <v>Ознакомиться</v>
      </c>
      <c r="W28" s="8" t="s">
        <v>233</v>
      </c>
      <c r="X28" s="6"/>
      <c r="Y28" s="6" t="s">
        <v>30</v>
      </c>
      <c r="Z28" s="6"/>
      <c r="AA28" s="6"/>
      <c r="AB28" s="6" t="s">
        <v>215</v>
      </c>
    </row>
    <row r="29" spans="1:28" s="4" customFormat="1" ht="51.95" customHeight="1">
      <c r="A29" s="5">
        <v>0</v>
      </c>
      <c r="B29" s="6" t="s">
        <v>234</v>
      </c>
      <c r="C29" s="7">
        <v>1804</v>
      </c>
      <c r="D29" s="8" t="s">
        <v>235</v>
      </c>
      <c r="E29" s="8" t="s">
        <v>236</v>
      </c>
      <c r="F29" s="8" t="s">
        <v>237</v>
      </c>
      <c r="G29" s="6" t="s">
        <v>38</v>
      </c>
      <c r="H29" s="6" t="s">
        <v>113</v>
      </c>
      <c r="I29" s="8" t="s">
        <v>40</v>
      </c>
      <c r="J29" s="9">
        <v>1</v>
      </c>
      <c r="K29" s="9">
        <v>383</v>
      </c>
      <c r="L29" s="9">
        <v>2024</v>
      </c>
      <c r="M29" s="8" t="s">
        <v>238</v>
      </c>
      <c r="N29" s="8" t="s">
        <v>56</v>
      </c>
      <c r="O29" s="8" t="s">
        <v>231</v>
      </c>
      <c r="P29" s="6" t="s">
        <v>58</v>
      </c>
      <c r="Q29" s="8" t="s">
        <v>45</v>
      </c>
      <c r="R29" s="10" t="s">
        <v>239</v>
      </c>
      <c r="S29" s="11" t="s">
        <v>240</v>
      </c>
      <c r="T29" s="6"/>
      <c r="U29" s="27" t="str">
        <f>HYPERLINK("https://media.infra-m.ru/2104/2104816/cover/2104816.jpg", "Обложка")</f>
        <v>Обложка</v>
      </c>
      <c r="V29" s="27" t="str">
        <f>HYPERLINK("https://znanium.ru/catalog/product/2104816", "Ознакомиться")</f>
        <v>Ознакомиться</v>
      </c>
      <c r="W29" s="8" t="s">
        <v>241</v>
      </c>
      <c r="X29" s="6"/>
      <c r="Y29" s="6" t="s">
        <v>30</v>
      </c>
      <c r="Z29" s="6"/>
      <c r="AA29" s="6"/>
      <c r="AB29" s="6" t="s">
        <v>242</v>
      </c>
    </row>
    <row r="30" spans="1:28" s="4" customFormat="1" ht="51.95" customHeight="1">
      <c r="A30" s="5">
        <v>0</v>
      </c>
      <c r="B30" s="6" t="s">
        <v>243</v>
      </c>
      <c r="C30" s="7">
        <v>1750</v>
      </c>
      <c r="D30" s="8" t="s">
        <v>244</v>
      </c>
      <c r="E30" s="8" t="s">
        <v>245</v>
      </c>
      <c r="F30" s="8" t="s">
        <v>246</v>
      </c>
      <c r="G30" s="6" t="s">
        <v>38</v>
      </c>
      <c r="H30" s="6" t="s">
        <v>113</v>
      </c>
      <c r="I30" s="8" t="s">
        <v>247</v>
      </c>
      <c r="J30" s="9">
        <v>1</v>
      </c>
      <c r="K30" s="9">
        <v>383</v>
      </c>
      <c r="L30" s="9">
        <v>2023</v>
      </c>
      <c r="M30" s="8" t="s">
        <v>248</v>
      </c>
      <c r="N30" s="8" t="s">
        <v>56</v>
      </c>
      <c r="O30" s="8" t="s">
        <v>231</v>
      </c>
      <c r="P30" s="6" t="s">
        <v>44</v>
      </c>
      <c r="Q30" s="8" t="s">
        <v>79</v>
      </c>
      <c r="R30" s="10" t="s">
        <v>249</v>
      </c>
      <c r="S30" s="11" t="s">
        <v>250</v>
      </c>
      <c r="T30" s="6"/>
      <c r="U30" s="27" t="str">
        <f>HYPERLINK("https://media.infra-m.ru/1893/1893910/cover/1893910.jpg", "Обложка")</f>
        <v>Обложка</v>
      </c>
      <c r="V30" s="27" t="str">
        <f>HYPERLINK("https://znanium.ru/catalog/product/1893910", "Ознакомиться")</f>
        <v>Ознакомиться</v>
      </c>
      <c r="W30" s="8"/>
      <c r="X30" s="6"/>
      <c r="Y30" s="6" t="s">
        <v>30</v>
      </c>
      <c r="Z30" s="6"/>
      <c r="AA30" s="6"/>
      <c r="AB30" s="6" t="s">
        <v>98</v>
      </c>
    </row>
    <row r="31" spans="1:28" s="4" customFormat="1" ht="51.95" customHeight="1">
      <c r="A31" s="5">
        <v>0</v>
      </c>
      <c r="B31" s="6" t="s">
        <v>251</v>
      </c>
      <c r="C31" s="7">
        <v>1280</v>
      </c>
      <c r="D31" s="8" t="s">
        <v>252</v>
      </c>
      <c r="E31" s="8" t="s">
        <v>253</v>
      </c>
      <c r="F31" s="8" t="s">
        <v>254</v>
      </c>
      <c r="G31" s="6" t="s">
        <v>38</v>
      </c>
      <c r="H31" s="6" t="s">
        <v>113</v>
      </c>
      <c r="I31" s="8" t="s">
        <v>247</v>
      </c>
      <c r="J31" s="9">
        <v>1</v>
      </c>
      <c r="K31" s="9">
        <v>271</v>
      </c>
      <c r="L31" s="9">
        <v>2024</v>
      </c>
      <c r="M31" s="8" t="s">
        <v>255</v>
      </c>
      <c r="N31" s="8" t="s">
        <v>56</v>
      </c>
      <c r="O31" s="8" t="s">
        <v>231</v>
      </c>
      <c r="P31" s="6" t="s">
        <v>44</v>
      </c>
      <c r="Q31" s="8" t="s">
        <v>79</v>
      </c>
      <c r="R31" s="10" t="s">
        <v>256</v>
      </c>
      <c r="S31" s="11" t="s">
        <v>257</v>
      </c>
      <c r="T31" s="6"/>
      <c r="U31" s="27" t="str">
        <f>HYPERLINK("https://media.infra-m.ru/2138/2138458/cover/2138458.jpg", "Обложка")</f>
        <v>Обложка</v>
      </c>
      <c r="V31" s="27" t="str">
        <f>HYPERLINK("https://znanium.ru/catalog/product/2138458", "Ознакомиться")</f>
        <v>Ознакомиться</v>
      </c>
      <c r="W31" s="8" t="s">
        <v>258</v>
      </c>
      <c r="X31" s="6"/>
      <c r="Y31" s="6" t="s">
        <v>30</v>
      </c>
      <c r="Z31" s="6"/>
      <c r="AA31" s="6"/>
      <c r="AB31" s="6" t="s">
        <v>242</v>
      </c>
    </row>
    <row r="32" spans="1:28" s="4" customFormat="1" ht="51.95" customHeight="1">
      <c r="A32" s="5">
        <v>0</v>
      </c>
      <c r="B32" s="6" t="s">
        <v>259</v>
      </c>
      <c r="C32" s="7">
        <v>1730</v>
      </c>
      <c r="D32" s="8" t="s">
        <v>260</v>
      </c>
      <c r="E32" s="8" t="s">
        <v>261</v>
      </c>
      <c r="F32" s="8" t="s">
        <v>262</v>
      </c>
      <c r="G32" s="6" t="s">
        <v>38</v>
      </c>
      <c r="H32" s="6" t="s">
        <v>229</v>
      </c>
      <c r="I32" s="8"/>
      <c r="J32" s="9">
        <v>1</v>
      </c>
      <c r="K32" s="9">
        <v>368</v>
      </c>
      <c r="L32" s="9">
        <v>2024</v>
      </c>
      <c r="M32" s="8" t="s">
        <v>263</v>
      </c>
      <c r="N32" s="8" t="s">
        <v>264</v>
      </c>
      <c r="O32" s="8" t="s">
        <v>265</v>
      </c>
      <c r="P32" s="6" t="s">
        <v>44</v>
      </c>
      <c r="Q32" s="8" t="s">
        <v>45</v>
      </c>
      <c r="R32" s="10" t="s">
        <v>266</v>
      </c>
      <c r="S32" s="11"/>
      <c r="T32" s="6"/>
      <c r="U32" s="27" t="str">
        <f>HYPERLINK("https://media.infra-m.ru/2133/2133022/cover/2133022.jpg", "Обложка")</f>
        <v>Обложка</v>
      </c>
      <c r="V32" s="27" t="str">
        <f>HYPERLINK("https://znanium.ru/catalog/product/2133022", "Ознакомиться")</f>
        <v>Ознакомиться</v>
      </c>
      <c r="W32" s="8" t="s">
        <v>267</v>
      </c>
      <c r="X32" s="6"/>
      <c r="Y32" s="6" t="s">
        <v>30</v>
      </c>
      <c r="Z32" s="6"/>
      <c r="AA32" s="6"/>
      <c r="AB32" s="6" t="s">
        <v>215</v>
      </c>
    </row>
    <row r="33" spans="1:28" s="4" customFormat="1" ht="51.95" customHeight="1">
      <c r="A33" s="5">
        <v>0</v>
      </c>
      <c r="B33" s="6" t="s">
        <v>268</v>
      </c>
      <c r="C33" s="13">
        <v>780</v>
      </c>
      <c r="D33" s="8" t="s">
        <v>269</v>
      </c>
      <c r="E33" s="8" t="s">
        <v>261</v>
      </c>
      <c r="F33" s="8" t="s">
        <v>270</v>
      </c>
      <c r="G33" s="6" t="s">
        <v>38</v>
      </c>
      <c r="H33" s="6" t="s">
        <v>54</v>
      </c>
      <c r="I33" s="8" t="s">
        <v>40</v>
      </c>
      <c r="J33" s="9">
        <v>1</v>
      </c>
      <c r="K33" s="9">
        <v>204</v>
      </c>
      <c r="L33" s="9">
        <v>2022</v>
      </c>
      <c r="M33" s="8" t="s">
        <v>271</v>
      </c>
      <c r="N33" s="8" t="s">
        <v>264</v>
      </c>
      <c r="O33" s="8" t="s">
        <v>265</v>
      </c>
      <c r="P33" s="6" t="s">
        <v>58</v>
      </c>
      <c r="Q33" s="8" t="s">
        <v>45</v>
      </c>
      <c r="R33" s="10" t="s">
        <v>272</v>
      </c>
      <c r="S33" s="11" t="s">
        <v>273</v>
      </c>
      <c r="T33" s="6"/>
      <c r="U33" s="27" t="str">
        <f>HYPERLINK("https://media.infra-m.ru/1852/1852173/cover/1852173.jpg", "Обложка")</f>
        <v>Обложка</v>
      </c>
      <c r="V33" s="27" t="str">
        <f>HYPERLINK("https://znanium.ru/catalog/product/2080530", "Ознакомиться")</f>
        <v>Ознакомиться</v>
      </c>
      <c r="W33" s="8" t="s">
        <v>274</v>
      </c>
      <c r="X33" s="6"/>
      <c r="Y33" s="6" t="s">
        <v>30</v>
      </c>
      <c r="Z33" s="6"/>
      <c r="AA33" s="6" t="s">
        <v>71</v>
      </c>
      <c r="AB33" s="6" t="s">
        <v>141</v>
      </c>
    </row>
    <row r="34" spans="1:28" s="4" customFormat="1" ht="42" customHeight="1">
      <c r="A34" s="5">
        <v>0</v>
      </c>
      <c r="B34" s="6" t="s">
        <v>275</v>
      </c>
      <c r="C34" s="7">
        <v>1050</v>
      </c>
      <c r="D34" s="8" t="s">
        <v>276</v>
      </c>
      <c r="E34" s="8" t="s">
        <v>277</v>
      </c>
      <c r="F34" s="8" t="s">
        <v>270</v>
      </c>
      <c r="G34" s="6" t="s">
        <v>38</v>
      </c>
      <c r="H34" s="6" t="s">
        <v>54</v>
      </c>
      <c r="I34" s="8" t="s">
        <v>40</v>
      </c>
      <c r="J34" s="9">
        <v>1</v>
      </c>
      <c r="K34" s="9">
        <v>225</v>
      </c>
      <c r="L34" s="9">
        <v>2024</v>
      </c>
      <c r="M34" s="8" t="s">
        <v>278</v>
      </c>
      <c r="N34" s="8" t="s">
        <v>264</v>
      </c>
      <c r="O34" s="8" t="s">
        <v>265</v>
      </c>
      <c r="P34" s="6" t="s">
        <v>58</v>
      </c>
      <c r="Q34" s="8" t="s">
        <v>45</v>
      </c>
      <c r="R34" s="10" t="s">
        <v>272</v>
      </c>
      <c r="S34" s="11"/>
      <c r="T34" s="6"/>
      <c r="U34" s="27" t="str">
        <f>HYPERLINK("https://media.infra-m.ru/2080/2080530/cover/2080530.jpg", "Обложка")</f>
        <v>Обложка</v>
      </c>
      <c r="V34" s="27" t="str">
        <f>HYPERLINK("https://znanium.ru/catalog/product/2080530", "Ознакомиться")</f>
        <v>Ознакомиться</v>
      </c>
      <c r="W34" s="8" t="s">
        <v>274</v>
      </c>
      <c r="X34" s="6" t="s">
        <v>279</v>
      </c>
      <c r="Y34" s="6" t="s">
        <v>30</v>
      </c>
      <c r="Z34" s="6"/>
      <c r="AA34" s="6" t="s">
        <v>71</v>
      </c>
      <c r="AB34" s="6" t="s">
        <v>280</v>
      </c>
    </row>
    <row r="35" spans="1:28" s="4" customFormat="1" ht="51.95" customHeight="1">
      <c r="A35" s="5">
        <v>0</v>
      </c>
      <c r="B35" s="6" t="s">
        <v>281</v>
      </c>
      <c r="C35" s="7">
        <v>1194</v>
      </c>
      <c r="D35" s="8" t="s">
        <v>282</v>
      </c>
      <c r="E35" s="8" t="s">
        <v>283</v>
      </c>
      <c r="F35" s="8" t="s">
        <v>284</v>
      </c>
      <c r="G35" s="6" t="s">
        <v>38</v>
      </c>
      <c r="H35" s="6" t="s">
        <v>54</v>
      </c>
      <c r="I35" s="8" t="s">
        <v>77</v>
      </c>
      <c r="J35" s="9">
        <v>1</v>
      </c>
      <c r="K35" s="9">
        <v>254</v>
      </c>
      <c r="L35" s="9">
        <v>2024</v>
      </c>
      <c r="M35" s="8" t="s">
        <v>285</v>
      </c>
      <c r="N35" s="8" t="s">
        <v>56</v>
      </c>
      <c r="O35" s="8" t="s">
        <v>286</v>
      </c>
      <c r="P35" s="6" t="s">
        <v>287</v>
      </c>
      <c r="Q35" s="8" t="s">
        <v>79</v>
      </c>
      <c r="R35" s="10" t="s">
        <v>288</v>
      </c>
      <c r="S35" s="11" t="s">
        <v>289</v>
      </c>
      <c r="T35" s="6"/>
      <c r="U35" s="27" t="str">
        <f>HYPERLINK("https://media.infra-m.ru/2152/2152145/cover/2152145.jpg", "Обложка")</f>
        <v>Обложка</v>
      </c>
      <c r="V35" s="27" t="str">
        <f>HYPERLINK("https://znanium.ru/catalog/product/1851440", "Ознакомиться")</f>
        <v>Ознакомиться</v>
      </c>
      <c r="W35" s="8" t="s">
        <v>290</v>
      </c>
      <c r="X35" s="6"/>
      <c r="Y35" s="6" t="s">
        <v>30</v>
      </c>
      <c r="Z35" s="6"/>
      <c r="AA35" s="6"/>
      <c r="AB35" s="6" t="s">
        <v>141</v>
      </c>
    </row>
    <row r="36" spans="1:28" s="4" customFormat="1" ht="51.95" customHeight="1">
      <c r="A36" s="5">
        <v>0</v>
      </c>
      <c r="B36" s="6" t="s">
        <v>291</v>
      </c>
      <c r="C36" s="7">
        <v>1330</v>
      </c>
      <c r="D36" s="8" t="s">
        <v>292</v>
      </c>
      <c r="E36" s="8" t="s">
        <v>293</v>
      </c>
      <c r="F36" s="8" t="s">
        <v>294</v>
      </c>
      <c r="G36" s="6" t="s">
        <v>38</v>
      </c>
      <c r="H36" s="6" t="s">
        <v>295</v>
      </c>
      <c r="I36" s="8" t="s">
        <v>40</v>
      </c>
      <c r="J36" s="9">
        <v>1</v>
      </c>
      <c r="K36" s="9">
        <v>296</v>
      </c>
      <c r="L36" s="9">
        <v>2023</v>
      </c>
      <c r="M36" s="8" t="s">
        <v>296</v>
      </c>
      <c r="N36" s="8" t="s">
        <v>137</v>
      </c>
      <c r="O36" s="8" t="s">
        <v>297</v>
      </c>
      <c r="P36" s="6" t="s">
        <v>44</v>
      </c>
      <c r="Q36" s="8" t="s">
        <v>45</v>
      </c>
      <c r="R36" s="10" t="s">
        <v>298</v>
      </c>
      <c r="S36" s="11" t="s">
        <v>299</v>
      </c>
      <c r="T36" s="6"/>
      <c r="U36" s="27" t="str">
        <f>HYPERLINK("https://media.infra-m.ru/2021/2021415/cover/2021415.jpg", "Обложка")</f>
        <v>Обложка</v>
      </c>
      <c r="V36" s="27" t="str">
        <f>HYPERLINK("https://znanium.ru/catalog/product/2021415", "Ознакомиться")</f>
        <v>Ознакомиться</v>
      </c>
      <c r="W36" s="8"/>
      <c r="X36" s="6"/>
      <c r="Y36" s="6" t="s">
        <v>30</v>
      </c>
      <c r="Z36" s="6"/>
      <c r="AA36" s="6" t="s">
        <v>71</v>
      </c>
      <c r="AB36" s="6" t="s">
        <v>300</v>
      </c>
    </row>
    <row r="37" spans="1:28" s="4" customFormat="1" ht="51.95" customHeight="1">
      <c r="A37" s="5">
        <v>0</v>
      </c>
      <c r="B37" s="6" t="s">
        <v>301</v>
      </c>
      <c r="C37" s="13">
        <v>370</v>
      </c>
      <c r="D37" s="8" t="s">
        <v>302</v>
      </c>
      <c r="E37" s="8" t="s">
        <v>293</v>
      </c>
      <c r="F37" s="8" t="s">
        <v>303</v>
      </c>
      <c r="G37" s="6" t="s">
        <v>76</v>
      </c>
      <c r="H37" s="6" t="s">
        <v>135</v>
      </c>
      <c r="I37" s="8" t="s">
        <v>114</v>
      </c>
      <c r="J37" s="9">
        <v>1</v>
      </c>
      <c r="K37" s="9">
        <v>81</v>
      </c>
      <c r="L37" s="9">
        <v>2024</v>
      </c>
      <c r="M37" s="8" t="s">
        <v>304</v>
      </c>
      <c r="N37" s="8" t="s">
        <v>137</v>
      </c>
      <c r="O37" s="8" t="s">
        <v>297</v>
      </c>
      <c r="P37" s="6" t="s">
        <v>58</v>
      </c>
      <c r="Q37" s="8" t="s">
        <v>45</v>
      </c>
      <c r="R37" s="10" t="s">
        <v>305</v>
      </c>
      <c r="S37" s="11"/>
      <c r="T37" s="6"/>
      <c r="U37" s="27" t="str">
        <f>HYPERLINK("https://media.infra-m.ru/2107/2107320/cover/2107320.jpg", "Обложка")</f>
        <v>Обложка</v>
      </c>
      <c r="V37" s="27" t="str">
        <f>HYPERLINK("https://znanium.ru/catalog/product/2107320", "Ознакомиться")</f>
        <v>Ознакомиться</v>
      </c>
      <c r="W37" s="8"/>
      <c r="X37" s="6"/>
      <c r="Y37" s="6" t="s">
        <v>30</v>
      </c>
      <c r="Z37" s="6"/>
      <c r="AA37" s="6" t="s">
        <v>71</v>
      </c>
      <c r="AB37" s="6" t="s">
        <v>300</v>
      </c>
    </row>
    <row r="38" spans="1:28" s="4" customFormat="1" ht="51.95" customHeight="1">
      <c r="A38" s="5">
        <v>0</v>
      </c>
      <c r="B38" s="6" t="s">
        <v>306</v>
      </c>
      <c r="C38" s="7">
        <v>1030</v>
      </c>
      <c r="D38" s="8" t="s">
        <v>307</v>
      </c>
      <c r="E38" s="8" t="s">
        <v>308</v>
      </c>
      <c r="F38" s="8" t="s">
        <v>309</v>
      </c>
      <c r="G38" s="6" t="s">
        <v>76</v>
      </c>
      <c r="H38" s="6" t="s">
        <v>39</v>
      </c>
      <c r="I38" s="8" t="s">
        <v>40</v>
      </c>
      <c r="J38" s="9">
        <v>30</v>
      </c>
      <c r="K38" s="9">
        <v>272</v>
      </c>
      <c r="L38" s="9">
        <v>2022</v>
      </c>
      <c r="M38" s="8" t="s">
        <v>310</v>
      </c>
      <c r="N38" s="8" t="s">
        <v>137</v>
      </c>
      <c r="O38" s="8" t="s">
        <v>297</v>
      </c>
      <c r="P38" s="6" t="s">
        <v>58</v>
      </c>
      <c r="Q38" s="8" t="s">
        <v>45</v>
      </c>
      <c r="R38" s="10" t="s">
        <v>311</v>
      </c>
      <c r="S38" s="11" t="s">
        <v>312</v>
      </c>
      <c r="T38" s="6"/>
      <c r="U38" s="27" t="str">
        <f>HYPERLINK("https://media.infra-m.ru/1839/1839669/cover/1839669.jpg", "Обложка")</f>
        <v>Обложка</v>
      </c>
      <c r="V38" s="27" t="str">
        <f>HYPERLINK("https://znanium.ru/catalog/product/1839669", "Ознакомиться")</f>
        <v>Ознакомиться</v>
      </c>
      <c r="W38" s="8" t="s">
        <v>274</v>
      </c>
      <c r="X38" s="6"/>
      <c r="Y38" s="6" t="s">
        <v>30</v>
      </c>
      <c r="Z38" s="6"/>
      <c r="AA38" s="6"/>
      <c r="AB38" s="6" t="s">
        <v>49</v>
      </c>
    </row>
    <row r="39" spans="1:28" s="4" customFormat="1" ht="51.95" customHeight="1">
      <c r="A39" s="5">
        <v>0</v>
      </c>
      <c r="B39" s="6" t="s">
        <v>313</v>
      </c>
      <c r="C39" s="7">
        <v>1094.9000000000001</v>
      </c>
      <c r="D39" s="8" t="s">
        <v>314</v>
      </c>
      <c r="E39" s="8" t="s">
        <v>315</v>
      </c>
      <c r="F39" s="8" t="s">
        <v>316</v>
      </c>
      <c r="G39" s="6" t="s">
        <v>38</v>
      </c>
      <c r="H39" s="6" t="s">
        <v>54</v>
      </c>
      <c r="I39" s="8" t="s">
        <v>40</v>
      </c>
      <c r="J39" s="9">
        <v>1</v>
      </c>
      <c r="K39" s="9">
        <v>288</v>
      </c>
      <c r="L39" s="9">
        <v>2022</v>
      </c>
      <c r="M39" s="8" t="s">
        <v>317</v>
      </c>
      <c r="N39" s="8" t="s">
        <v>137</v>
      </c>
      <c r="O39" s="8" t="s">
        <v>297</v>
      </c>
      <c r="P39" s="6" t="s">
        <v>58</v>
      </c>
      <c r="Q39" s="8" t="s">
        <v>45</v>
      </c>
      <c r="R39" s="10" t="s">
        <v>318</v>
      </c>
      <c r="S39" s="11" t="s">
        <v>319</v>
      </c>
      <c r="T39" s="6"/>
      <c r="U39" s="27" t="str">
        <f>HYPERLINK("https://media.infra-m.ru/1832/1832175/cover/1832175.jpg", "Обложка")</f>
        <v>Обложка</v>
      </c>
      <c r="V39" s="27" t="str">
        <f>HYPERLINK("https://znanium.ru/catalog/product/1832175", "Ознакомиться")</f>
        <v>Ознакомиться</v>
      </c>
      <c r="W39" s="8"/>
      <c r="X39" s="6"/>
      <c r="Y39" s="6" t="s">
        <v>30</v>
      </c>
      <c r="Z39" s="6"/>
      <c r="AA39" s="6"/>
      <c r="AB39" s="6" t="s">
        <v>320</v>
      </c>
    </row>
    <row r="40" spans="1:28" s="4" customFormat="1" ht="51.95" customHeight="1">
      <c r="A40" s="5">
        <v>0</v>
      </c>
      <c r="B40" s="6" t="s">
        <v>321</v>
      </c>
      <c r="C40" s="7">
        <v>1580</v>
      </c>
      <c r="D40" s="8" t="s">
        <v>322</v>
      </c>
      <c r="E40" s="8" t="s">
        <v>323</v>
      </c>
      <c r="F40" s="8" t="s">
        <v>324</v>
      </c>
      <c r="G40" s="6" t="s">
        <v>38</v>
      </c>
      <c r="H40" s="6" t="s">
        <v>54</v>
      </c>
      <c r="I40" s="8" t="s">
        <v>77</v>
      </c>
      <c r="J40" s="9">
        <v>1</v>
      </c>
      <c r="K40" s="9">
        <v>351</v>
      </c>
      <c r="L40" s="9">
        <v>2023</v>
      </c>
      <c r="M40" s="8" t="s">
        <v>325</v>
      </c>
      <c r="N40" s="8" t="s">
        <v>264</v>
      </c>
      <c r="O40" s="8" t="s">
        <v>326</v>
      </c>
      <c r="P40" s="6" t="s">
        <v>58</v>
      </c>
      <c r="Q40" s="8" t="s">
        <v>79</v>
      </c>
      <c r="R40" s="10" t="s">
        <v>327</v>
      </c>
      <c r="S40" s="11" t="s">
        <v>328</v>
      </c>
      <c r="T40" s="6"/>
      <c r="U40" s="27" t="str">
        <f>HYPERLINK("https://media.infra-m.ru/1900/1900333/cover/1900333.jpg", "Обложка")</f>
        <v>Обложка</v>
      </c>
      <c r="V40" s="27" t="str">
        <f>HYPERLINK("https://znanium.ru/catalog/product/1900333", "Ознакомиться")</f>
        <v>Ознакомиться</v>
      </c>
      <c r="W40" s="8" t="s">
        <v>329</v>
      </c>
      <c r="X40" s="6"/>
      <c r="Y40" s="6" t="s">
        <v>30</v>
      </c>
      <c r="Z40" s="6"/>
      <c r="AA40" s="6"/>
      <c r="AB40" s="6" t="s">
        <v>208</v>
      </c>
    </row>
    <row r="41" spans="1:28" s="4" customFormat="1" ht="51.95" customHeight="1">
      <c r="A41" s="5">
        <v>0</v>
      </c>
      <c r="B41" s="6" t="s">
        <v>330</v>
      </c>
      <c r="C41" s="7">
        <v>1654</v>
      </c>
      <c r="D41" s="8" t="s">
        <v>331</v>
      </c>
      <c r="E41" s="8" t="s">
        <v>332</v>
      </c>
      <c r="F41" s="8" t="s">
        <v>333</v>
      </c>
      <c r="G41" s="6" t="s">
        <v>38</v>
      </c>
      <c r="H41" s="6" t="s">
        <v>54</v>
      </c>
      <c r="I41" s="8" t="s">
        <v>334</v>
      </c>
      <c r="J41" s="9">
        <v>1</v>
      </c>
      <c r="K41" s="9">
        <v>352</v>
      </c>
      <c r="L41" s="9">
        <v>2024</v>
      </c>
      <c r="M41" s="8" t="s">
        <v>335</v>
      </c>
      <c r="N41" s="8" t="s">
        <v>56</v>
      </c>
      <c r="O41" s="8" t="s">
        <v>57</v>
      </c>
      <c r="P41" s="6" t="s">
        <v>58</v>
      </c>
      <c r="Q41" s="8" t="s">
        <v>336</v>
      </c>
      <c r="R41" s="10" t="s">
        <v>337</v>
      </c>
      <c r="S41" s="11" t="s">
        <v>338</v>
      </c>
      <c r="T41" s="6"/>
      <c r="U41" s="27" t="str">
        <f>HYPERLINK("https://media.infra-m.ru/2149/2149190/cover/2149190.jpg", "Обложка")</f>
        <v>Обложка</v>
      </c>
      <c r="V41" s="27" t="str">
        <f>HYPERLINK("https://znanium.ru/catalog/product/2008770", "Ознакомиться")</f>
        <v>Ознакомиться</v>
      </c>
      <c r="W41" s="8" t="s">
        <v>339</v>
      </c>
      <c r="X41" s="6"/>
      <c r="Y41" s="6" t="s">
        <v>30</v>
      </c>
      <c r="Z41" s="6"/>
      <c r="AA41" s="6"/>
      <c r="AB41" s="6" t="s">
        <v>340</v>
      </c>
    </row>
    <row r="42" spans="1:28" s="4" customFormat="1" ht="51.95" customHeight="1">
      <c r="A42" s="5">
        <v>0</v>
      </c>
      <c r="B42" s="6" t="s">
        <v>341</v>
      </c>
      <c r="C42" s="7">
        <v>1370</v>
      </c>
      <c r="D42" s="8" t="s">
        <v>342</v>
      </c>
      <c r="E42" s="8" t="s">
        <v>343</v>
      </c>
      <c r="F42" s="8" t="s">
        <v>344</v>
      </c>
      <c r="G42" s="6" t="s">
        <v>38</v>
      </c>
      <c r="H42" s="6" t="s">
        <v>54</v>
      </c>
      <c r="I42" s="8" t="s">
        <v>247</v>
      </c>
      <c r="J42" s="9">
        <v>1</v>
      </c>
      <c r="K42" s="9">
        <v>297</v>
      </c>
      <c r="L42" s="9">
        <v>2023</v>
      </c>
      <c r="M42" s="8" t="s">
        <v>345</v>
      </c>
      <c r="N42" s="8" t="s">
        <v>137</v>
      </c>
      <c r="O42" s="8" t="s">
        <v>138</v>
      </c>
      <c r="P42" s="6" t="s">
        <v>44</v>
      </c>
      <c r="Q42" s="8" t="s">
        <v>88</v>
      </c>
      <c r="R42" s="10" t="s">
        <v>346</v>
      </c>
      <c r="S42" s="11" t="s">
        <v>347</v>
      </c>
      <c r="T42" s="6" t="s">
        <v>348</v>
      </c>
      <c r="U42" s="27" t="str">
        <f>HYPERLINK("https://media.infra-m.ru/2039/2039989/cover/2039989.jpg", "Обложка")</f>
        <v>Обложка</v>
      </c>
      <c r="V42" s="27" t="str">
        <f>HYPERLINK("https://znanium.ru/catalog/product/2039989", "Ознакомиться")</f>
        <v>Ознакомиться</v>
      </c>
      <c r="W42" s="8" t="s">
        <v>349</v>
      </c>
      <c r="X42" s="6"/>
      <c r="Y42" s="6" t="s">
        <v>30</v>
      </c>
      <c r="Z42" s="6"/>
      <c r="AA42" s="6"/>
      <c r="AB42" s="6" t="s">
        <v>350</v>
      </c>
    </row>
    <row r="43" spans="1:28" s="4" customFormat="1" ht="51.95" customHeight="1">
      <c r="A43" s="5">
        <v>0</v>
      </c>
      <c r="B43" s="6" t="s">
        <v>351</v>
      </c>
      <c r="C43" s="7">
        <v>1010</v>
      </c>
      <c r="D43" s="8" t="s">
        <v>352</v>
      </c>
      <c r="E43" s="8" t="s">
        <v>353</v>
      </c>
      <c r="F43" s="8" t="s">
        <v>344</v>
      </c>
      <c r="G43" s="6" t="s">
        <v>38</v>
      </c>
      <c r="H43" s="6" t="s">
        <v>295</v>
      </c>
      <c r="I43" s="8" t="s">
        <v>247</v>
      </c>
      <c r="J43" s="9">
        <v>1</v>
      </c>
      <c r="K43" s="9">
        <v>296</v>
      </c>
      <c r="L43" s="9">
        <v>2020</v>
      </c>
      <c r="M43" s="8" t="s">
        <v>354</v>
      </c>
      <c r="N43" s="8" t="s">
        <v>137</v>
      </c>
      <c r="O43" s="8" t="s">
        <v>138</v>
      </c>
      <c r="P43" s="6" t="s">
        <v>58</v>
      </c>
      <c r="Q43" s="8" t="s">
        <v>79</v>
      </c>
      <c r="R43" s="10" t="s">
        <v>346</v>
      </c>
      <c r="S43" s="11" t="s">
        <v>355</v>
      </c>
      <c r="T43" s="6" t="s">
        <v>348</v>
      </c>
      <c r="U43" s="27" t="str">
        <f>HYPERLINK("https://media.infra-m.ru/1065/1065816/cover/1065816.jpg", "Обложка")</f>
        <v>Обложка</v>
      </c>
      <c r="V43" s="27" t="str">
        <f>HYPERLINK("https://znanium.ru/catalog/product/2039989", "Ознакомиться")</f>
        <v>Ознакомиться</v>
      </c>
      <c r="W43" s="8" t="s">
        <v>349</v>
      </c>
      <c r="X43" s="6"/>
      <c r="Y43" s="6" t="s">
        <v>30</v>
      </c>
      <c r="Z43" s="6"/>
      <c r="AA43" s="6"/>
      <c r="AB43" s="6" t="s">
        <v>356</v>
      </c>
    </row>
    <row r="44" spans="1:28" s="4" customFormat="1" ht="51.95" customHeight="1">
      <c r="A44" s="5">
        <v>0</v>
      </c>
      <c r="B44" s="6" t="s">
        <v>357</v>
      </c>
      <c r="C44" s="13">
        <v>790</v>
      </c>
      <c r="D44" s="8" t="s">
        <v>358</v>
      </c>
      <c r="E44" s="8" t="s">
        <v>359</v>
      </c>
      <c r="F44" s="8" t="s">
        <v>360</v>
      </c>
      <c r="G44" s="6" t="s">
        <v>38</v>
      </c>
      <c r="H44" s="6" t="s">
        <v>54</v>
      </c>
      <c r="I44" s="8" t="s">
        <v>361</v>
      </c>
      <c r="J44" s="9">
        <v>1</v>
      </c>
      <c r="K44" s="9">
        <v>157</v>
      </c>
      <c r="L44" s="9">
        <v>2023</v>
      </c>
      <c r="M44" s="8" t="s">
        <v>362</v>
      </c>
      <c r="N44" s="8" t="s">
        <v>56</v>
      </c>
      <c r="O44" s="8" t="s">
        <v>116</v>
      </c>
      <c r="P44" s="6" t="s">
        <v>58</v>
      </c>
      <c r="Q44" s="8" t="s">
        <v>88</v>
      </c>
      <c r="R44" s="10" t="s">
        <v>363</v>
      </c>
      <c r="S44" s="11" t="s">
        <v>364</v>
      </c>
      <c r="T44" s="6"/>
      <c r="U44" s="27" t="str">
        <f>HYPERLINK("https://media.infra-m.ru/2082/2082926/cover/2082926.jpg", "Обложка")</f>
        <v>Обложка</v>
      </c>
      <c r="V44" s="27" t="str">
        <f>HYPERLINK("https://znanium.ru/catalog/product/2082926", "Ознакомиться")</f>
        <v>Ознакомиться</v>
      </c>
      <c r="W44" s="8" t="s">
        <v>365</v>
      </c>
      <c r="X44" s="6"/>
      <c r="Y44" s="6" t="s">
        <v>30</v>
      </c>
      <c r="Z44" s="6"/>
      <c r="AA44" s="6"/>
      <c r="AB44" s="6" t="s">
        <v>208</v>
      </c>
    </row>
    <row r="45" spans="1:28" s="4" customFormat="1" ht="51.95" customHeight="1">
      <c r="A45" s="5">
        <v>0</v>
      </c>
      <c r="B45" s="6" t="s">
        <v>366</v>
      </c>
      <c r="C45" s="13">
        <v>510</v>
      </c>
      <c r="D45" s="8" t="s">
        <v>367</v>
      </c>
      <c r="E45" s="8" t="s">
        <v>368</v>
      </c>
      <c r="F45" s="8" t="s">
        <v>369</v>
      </c>
      <c r="G45" s="6" t="s">
        <v>76</v>
      </c>
      <c r="H45" s="6" t="s">
        <v>39</v>
      </c>
      <c r="I45" s="8" t="s">
        <v>77</v>
      </c>
      <c r="J45" s="9">
        <v>1</v>
      </c>
      <c r="K45" s="9">
        <v>112</v>
      </c>
      <c r="L45" s="9">
        <v>2023</v>
      </c>
      <c r="M45" s="8" t="s">
        <v>370</v>
      </c>
      <c r="N45" s="8" t="s">
        <v>264</v>
      </c>
      <c r="O45" s="8" t="s">
        <v>371</v>
      </c>
      <c r="P45" s="6" t="s">
        <v>58</v>
      </c>
      <c r="Q45" s="8" t="s">
        <v>79</v>
      </c>
      <c r="R45" s="10" t="s">
        <v>372</v>
      </c>
      <c r="S45" s="11" t="s">
        <v>373</v>
      </c>
      <c r="T45" s="6"/>
      <c r="U45" s="27" t="str">
        <f>HYPERLINK("https://media.infra-m.ru/1917/1917599/cover/1917599.jpg", "Обложка")</f>
        <v>Обложка</v>
      </c>
      <c r="V45" s="27" t="str">
        <f>HYPERLINK("https://znanium.ru/catalog/product/1917599", "Ознакомиться")</f>
        <v>Ознакомиться</v>
      </c>
      <c r="W45" s="8" t="s">
        <v>374</v>
      </c>
      <c r="X45" s="6"/>
      <c r="Y45" s="6" t="s">
        <v>30</v>
      </c>
      <c r="Z45" s="6"/>
      <c r="AA45" s="6"/>
      <c r="AB45" s="6" t="s">
        <v>375</v>
      </c>
    </row>
    <row r="46" spans="1:28" s="4" customFormat="1" ht="51.95" customHeight="1">
      <c r="A46" s="5">
        <v>0</v>
      </c>
      <c r="B46" s="6" t="s">
        <v>376</v>
      </c>
      <c r="C46" s="7">
        <v>1560</v>
      </c>
      <c r="D46" s="8" t="s">
        <v>377</v>
      </c>
      <c r="E46" s="8" t="s">
        <v>378</v>
      </c>
      <c r="F46" s="8" t="s">
        <v>379</v>
      </c>
      <c r="G46" s="6" t="s">
        <v>38</v>
      </c>
      <c r="H46" s="6" t="s">
        <v>54</v>
      </c>
      <c r="I46" s="8" t="s">
        <v>247</v>
      </c>
      <c r="J46" s="9">
        <v>1</v>
      </c>
      <c r="K46" s="9">
        <v>339</v>
      </c>
      <c r="L46" s="9">
        <v>2024</v>
      </c>
      <c r="M46" s="8" t="s">
        <v>380</v>
      </c>
      <c r="N46" s="8" t="s">
        <v>56</v>
      </c>
      <c r="O46" s="8" t="s">
        <v>231</v>
      </c>
      <c r="P46" s="6" t="s">
        <v>58</v>
      </c>
      <c r="Q46" s="8" t="s">
        <v>79</v>
      </c>
      <c r="R46" s="10" t="s">
        <v>381</v>
      </c>
      <c r="S46" s="11" t="s">
        <v>382</v>
      </c>
      <c r="T46" s="6"/>
      <c r="U46" s="27" t="str">
        <f>HYPERLINK("https://media.infra-m.ru/2107/2107311/cover/2107311.jpg", "Обложка")</f>
        <v>Обложка</v>
      </c>
      <c r="V46" s="27" t="str">
        <f>HYPERLINK("https://znanium.ru/catalog/product/2107311", "Ознакомиться")</f>
        <v>Ознакомиться</v>
      </c>
      <c r="W46" s="8" t="s">
        <v>241</v>
      </c>
      <c r="X46" s="6"/>
      <c r="Y46" s="6" t="s">
        <v>30</v>
      </c>
      <c r="Z46" s="6"/>
      <c r="AA46" s="6"/>
      <c r="AB46" s="6" t="s">
        <v>383</v>
      </c>
    </row>
    <row r="47" spans="1:28" s="4" customFormat="1" ht="51.95" customHeight="1">
      <c r="A47" s="5">
        <v>0</v>
      </c>
      <c r="B47" s="6" t="s">
        <v>384</v>
      </c>
      <c r="C47" s="7">
        <v>1214.9000000000001</v>
      </c>
      <c r="D47" s="8" t="s">
        <v>385</v>
      </c>
      <c r="E47" s="8" t="s">
        <v>386</v>
      </c>
      <c r="F47" s="8" t="s">
        <v>387</v>
      </c>
      <c r="G47" s="6" t="s">
        <v>38</v>
      </c>
      <c r="H47" s="6" t="s">
        <v>113</v>
      </c>
      <c r="I47" s="8" t="s">
        <v>77</v>
      </c>
      <c r="J47" s="9">
        <v>1</v>
      </c>
      <c r="K47" s="9">
        <v>336</v>
      </c>
      <c r="L47" s="9">
        <v>2021</v>
      </c>
      <c r="M47" s="8" t="s">
        <v>388</v>
      </c>
      <c r="N47" s="8" t="s">
        <v>56</v>
      </c>
      <c r="O47" s="8" t="s">
        <v>231</v>
      </c>
      <c r="P47" s="6" t="s">
        <v>58</v>
      </c>
      <c r="Q47" s="8" t="s">
        <v>79</v>
      </c>
      <c r="R47" s="10" t="s">
        <v>381</v>
      </c>
      <c r="S47" s="11" t="s">
        <v>389</v>
      </c>
      <c r="T47" s="6"/>
      <c r="U47" s="27" t="str">
        <f>HYPERLINK("https://media.infra-m.ru/1230/1230216/cover/1230216.jpg", "Обложка")</f>
        <v>Обложка</v>
      </c>
      <c r="V47" s="27" t="str">
        <f>HYPERLINK("https://znanium.ru/catalog/product/2107311", "Ознакомиться")</f>
        <v>Ознакомиться</v>
      </c>
      <c r="W47" s="8" t="s">
        <v>241</v>
      </c>
      <c r="X47" s="6"/>
      <c r="Y47" s="6" t="s">
        <v>30</v>
      </c>
      <c r="Z47" s="6"/>
      <c r="AA47" s="6"/>
      <c r="AB47" s="6" t="s">
        <v>350</v>
      </c>
    </row>
    <row r="48" spans="1:28" s="4" customFormat="1" ht="44.1" customHeight="1">
      <c r="A48" s="5">
        <v>0</v>
      </c>
      <c r="B48" s="6" t="s">
        <v>390</v>
      </c>
      <c r="C48" s="13">
        <v>790</v>
      </c>
      <c r="D48" s="8" t="s">
        <v>391</v>
      </c>
      <c r="E48" s="8" t="s">
        <v>392</v>
      </c>
      <c r="F48" s="8" t="s">
        <v>393</v>
      </c>
      <c r="G48" s="6" t="s">
        <v>76</v>
      </c>
      <c r="H48" s="6" t="s">
        <v>54</v>
      </c>
      <c r="I48" s="8" t="s">
        <v>394</v>
      </c>
      <c r="J48" s="9">
        <v>1</v>
      </c>
      <c r="K48" s="9">
        <v>175</v>
      </c>
      <c r="L48" s="9">
        <v>2023</v>
      </c>
      <c r="M48" s="8" t="s">
        <v>395</v>
      </c>
      <c r="N48" s="8" t="s">
        <v>264</v>
      </c>
      <c r="O48" s="8" t="s">
        <v>371</v>
      </c>
      <c r="P48" s="6" t="s">
        <v>396</v>
      </c>
      <c r="Q48" s="8" t="s">
        <v>397</v>
      </c>
      <c r="R48" s="10" t="s">
        <v>398</v>
      </c>
      <c r="S48" s="11"/>
      <c r="T48" s="6"/>
      <c r="U48" s="27" t="str">
        <f>HYPERLINK("https://media.infra-m.ru/1913/1913226/cover/1913226.jpg", "Обложка")</f>
        <v>Обложка</v>
      </c>
      <c r="V48" s="27" t="str">
        <f>HYPERLINK("https://znanium.ru/catalog/product/1913226", "Ознакомиться")</f>
        <v>Ознакомиться</v>
      </c>
      <c r="W48" s="8" t="s">
        <v>399</v>
      </c>
      <c r="X48" s="6"/>
      <c r="Y48" s="6" t="s">
        <v>30</v>
      </c>
      <c r="Z48" s="6"/>
      <c r="AA48" s="6"/>
      <c r="AB48" s="6" t="s">
        <v>300</v>
      </c>
    </row>
    <row r="49" spans="1:28" s="4" customFormat="1" ht="51.95" customHeight="1">
      <c r="A49" s="5">
        <v>0</v>
      </c>
      <c r="B49" s="6" t="s">
        <v>400</v>
      </c>
      <c r="C49" s="7">
        <v>1560</v>
      </c>
      <c r="D49" s="8" t="s">
        <v>401</v>
      </c>
      <c r="E49" s="8" t="s">
        <v>402</v>
      </c>
      <c r="F49" s="8" t="s">
        <v>403</v>
      </c>
      <c r="G49" s="6" t="s">
        <v>38</v>
      </c>
      <c r="H49" s="6" t="s">
        <v>54</v>
      </c>
      <c r="I49" s="8" t="s">
        <v>40</v>
      </c>
      <c r="J49" s="9">
        <v>1</v>
      </c>
      <c r="K49" s="9">
        <v>338</v>
      </c>
      <c r="L49" s="9">
        <v>2024</v>
      </c>
      <c r="M49" s="8" t="s">
        <v>404</v>
      </c>
      <c r="N49" s="8" t="s">
        <v>42</v>
      </c>
      <c r="O49" s="8" t="s">
        <v>405</v>
      </c>
      <c r="P49" s="6" t="s">
        <v>58</v>
      </c>
      <c r="Q49" s="8" t="s">
        <v>45</v>
      </c>
      <c r="R49" s="10" t="s">
        <v>406</v>
      </c>
      <c r="S49" s="11" t="s">
        <v>407</v>
      </c>
      <c r="T49" s="6"/>
      <c r="U49" s="27" t="str">
        <f>HYPERLINK("https://media.infra-m.ru/2076/2076019/cover/2076019.jpg", "Обложка")</f>
        <v>Обложка</v>
      </c>
      <c r="V49" s="27" t="str">
        <f>HYPERLINK("https://znanium.ru/catalog/product/2076019", "Ознакомиться")</f>
        <v>Ознакомиться</v>
      </c>
      <c r="W49" s="8" t="s">
        <v>408</v>
      </c>
      <c r="X49" s="6"/>
      <c r="Y49" s="6" t="s">
        <v>30</v>
      </c>
      <c r="Z49" s="6"/>
      <c r="AA49" s="6" t="s">
        <v>71</v>
      </c>
      <c r="AB49" s="6" t="s">
        <v>141</v>
      </c>
    </row>
    <row r="50" spans="1:28" s="4" customFormat="1" ht="44.1" customHeight="1">
      <c r="A50" s="5">
        <v>0</v>
      </c>
      <c r="B50" s="6" t="s">
        <v>409</v>
      </c>
      <c r="C50" s="13">
        <v>980</v>
      </c>
      <c r="D50" s="8" t="s">
        <v>410</v>
      </c>
      <c r="E50" s="8" t="s">
        <v>411</v>
      </c>
      <c r="F50" s="8" t="s">
        <v>412</v>
      </c>
      <c r="G50" s="6" t="s">
        <v>38</v>
      </c>
      <c r="H50" s="6" t="s">
        <v>54</v>
      </c>
      <c r="I50" s="8" t="s">
        <v>77</v>
      </c>
      <c r="J50" s="9">
        <v>1</v>
      </c>
      <c r="K50" s="9">
        <v>212</v>
      </c>
      <c r="L50" s="9">
        <v>2023</v>
      </c>
      <c r="M50" s="8" t="s">
        <v>413</v>
      </c>
      <c r="N50" s="8" t="s">
        <v>42</v>
      </c>
      <c r="O50" s="8" t="s">
        <v>43</v>
      </c>
      <c r="P50" s="6" t="s">
        <v>58</v>
      </c>
      <c r="Q50" s="8" t="s">
        <v>79</v>
      </c>
      <c r="R50" s="10" t="s">
        <v>414</v>
      </c>
      <c r="S50" s="11"/>
      <c r="T50" s="6"/>
      <c r="U50" s="27" t="str">
        <f>HYPERLINK("https://media.infra-m.ru/2126/2126640/cover/2126640.jpg", "Обложка")</f>
        <v>Обложка</v>
      </c>
      <c r="V50" s="27" t="str">
        <f>HYPERLINK("https://znanium.ru/catalog/product/2126640", "Ознакомиться")</f>
        <v>Ознакомиться</v>
      </c>
      <c r="W50" s="8" t="s">
        <v>61</v>
      </c>
      <c r="X50" s="6"/>
      <c r="Y50" s="6" t="s">
        <v>30</v>
      </c>
      <c r="Z50" s="6"/>
      <c r="AA50" s="6"/>
      <c r="AB50" s="6" t="s">
        <v>62</v>
      </c>
    </row>
    <row r="51" spans="1:28" s="4" customFormat="1" ht="51.95" customHeight="1">
      <c r="A51" s="5">
        <v>0</v>
      </c>
      <c r="B51" s="6" t="s">
        <v>415</v>
      </c>
      <c r="C51" s="7">
        <v>1990</v>
      </c>
      <c r="D51" s="8" t="s">
        <v>416</v>
      </c>
      <c r="E51" s="8" t="s">
        <v>417</v>
      </c>
      <c r="F51" s="8" t="s">
        <v>418</v>
      </c>
      <c r="G51" s="6" t="s">
        <v>38</v>
      </c>
      <c r="H51" s="6" t="s">
        <v>39</v>
      </c>
      <c r="I51" s="8" t="s">
        <v>114</v>
      </c>
      <c r="J51" s="9">
        <v>1</v>
      </c>
      <c r="K51" s="9">
        <v>445</v>
      </c>
      <c r="L51" s="9">
        <v>2022</v>
      </c>
      <c r="M51" s="8" t="s">
        <v>419</v>
      </c>
      <c r="N51" s="8" t="s">
        <v>56</v>
      </c>
      <c r="O51" s="8" t="s">
        <v>231</v>
      </c>
      <c r="P51" s="6" t="s">
        <v>58</v>
      </c>
      <c r="Q51" s="8" t="s">
        <v>45</v>
      </c>
      <c r="R51" s="10" t="s">
        <v>420</v>
      </c>
      <c r="S51" s="11" t="s">
        <v>421</v>
      </c>
      <c r="T51" s="6"/>
      <c r="U51" s="27" t="str">
        <f>HYPERLINK("https://media.infra-m.ru/1703/1703191/cover/1703191.jpg", "Обложка")</f>
        <v>Обложка</v>
      </c>
      <c r="V51" s="27" t="str">
        <f>HYPERLINK("https://znanium.ru/catalog/product/1703191", "Ознакомиться")</f>
        <v>Ознакомиться</v>
      </c>
      <c r="W51" s="8" t="s">
        <v>48</v>
      </c>
      <c r="X51" s="6"/>
      <c r="Y51" s="6" t="s">
        <v>30</v>
      </c>
      <c r="Z51" s="6"/>
      <c r="AA51" s="6"/>
      <c r="AB51" s="6" t="s">
        <v>422</v>
      </c>
    </row>
    <row r="52" spans="1:28" s="4" customFormat="1" ht="51.95" customHeight="1">
      <c r="A52" s="5">
        <v>0</v>
      </c>
      <c r="B52" s="6" t="s">
        <v>423</v>
      </c>
      <c r="C52" s="13">
        <v>834</v>
      </c>
      <c r="D52" s="8" t="s">
        <v>424</v>
      </c>
      <c r="E52" s="8" t="s">
        <v>425</v>
      </c>
      <c r="F52" s="8" t="s">
        <v>426</v>
      </c>
      <c r="G52" s="6" t="s">
        <v>38</v>
      </c>
      <c r="H52" s="6" t="s">
        <v>54</v>
      </c>
      <c r="I52" s="8" t="s">
        <v>77</v>
      </c>
      <c r="J52" s="9">
        <v>1</v>
      </c>
      <c r="K52" s="9">
        <v>177</v>
      </c>
      <c r="L52" s="9">
        <v>2024</v>
      </c>
      <c r="M52" s="8" t="s">
        <v>427</v>
      </c>
      <c r="N52" s="8" t="s">
        <v>264</v>
      </c>
      <c r="O52" s="8" t="s">
        <v>371</v>
      </c>
      <c r="P52" s="6" t="s">
        <v>58</v>
      </c>
      <c r="Q52" s="8" t="s">
        <v>79</v>
      </c>
      <c r="R52" s="10" t="s">
        <v>428</v>
      </c>
      <c r="S52" s="11" t="s">
        <v>429</v>
      </c>
      <c r="T52" s="6"/>
      <c r="U52" s="27" t="str">
        <f>HYPERLINK("https://media.infra-m.ru/2023/2023104/cover/2023104.jpg", "Обложка")</f>
        <v>Обложка</v>
      </c>
      <c r="V52" s="27" t="str">
        <f>HYPERLINK("https://znanium.ru/catalog/product/1850620", "Ознакомиться")</f>
        <v>Ознакомиться</v>
      </c>
      <c r="W52" s="8" t="s">
        <v>430</v>
      </c>
      <c r="X52" s="6"/>
      <c r="Y52" s="6" t="s">
        <v>30</v>
      </c>
      <c r="Z52" s="6"/>
      <c r="AA52" s="6"/>
      <c r="AB52" s="6" t="s">
        <v>431</v>
      </c>
    </row>
    <row r="53" spans="1:28" s="4" customFormat="1" ht="51.95" customHeight="1">
      <c r="A53" s="5">
        <v>0</v>
      </c>
      <c r="B53" s="6" t="s">
        <v>432</v>
      </c>
      <c r="C53" s="7">
        <v>1324</v>
      </c>
      <c r="D53" s="8" t="s">
        <v>433</v>
      </c>
      <c r="E53" s="8" t="s">
        <v>434</v>
      </c>
      <c r="F53" s="8" t="s">
        <v>435</v>
      </c>
      <c r="G53" s="6" t="s">
        <v>38</v>
      </c>
      <c r="H53" s="6" t="s">
        <v>54</v>
      </c>
      <c r="I53" s="8" t="s">
        <v>77</v>
      </c>
      <c r="J53" s="9">
        <v>1</v>
      </c>
      <c r="K53" s="9">
        <v>288</v>
      </c>
      <c r="L53" s="9">
        <v>2024</v>
      </c>
      <c r="M53" s="8" t="s">
        <v>436</v>
      </c>
      <c r="N53" s="8" t="s">
        <v>264</v>
      </c>
      <c r="O53" s="8" t="s">
        <v>371</v>
      </c>
      <c r="P53" s="6" t="s">
        <v>58</v>
      </c>
      <c r="Q53" s="8" t="s">
        <v>79</v>
      </c>
      <c r="R53" s="10" t="s">
        <v>437</v>
      </c>
      <c r="S53" s="11" t="s">
        <v>438</v>
      </c>
      <c r="T53" s="6" t="s">
        <v>348</v>
      </c>
      <c r="U53" s="27" t="str">
        <f>HYPERLINK("https://media.infra-m.ru/2023/2023108/cover/2023108.jpg", "Обложка")</f>
        <v>Обложка</v>
      </c>
      <c r="V53" s="27" t="str">
        <f>HYPERLINK("https://znanium.ru/catalog/product/1039035", "Ознакомиться")</f>
        <v>Ознакомиться</v>
      </c>
      <c r="W53" s="8" t="s">
        <v>61</v>
      </c>
      <c r="X53" s="6"/>
      <c r="Y53" s="6" t="s">
        <v>30</v>
      </c>
      <c r="Z53" s="6"/>
      <c r="AA53" s="6"/>
      <c r="AB53" s="6" t="s">
        <v>98</v>
      </c>
    </row>
    <row r="54" spans="1:28" s="4" customFormat="1" ht="51.95" customHeight="1">
      <c r="A54" s="5">
        <v>0</v>
      </c>
      <c r="B54" s="6" t="s">
        <v>439</v>
      </c>
      <c r="C54" s="7">
        <v>2252</v>
      </c>
      <c r="D54" s="8" t="s">
        <v>440</v>
      </c>
      <c r="E54" s="8" t="s">
        <v>441</v>
      </c>
      <c r="F54" s="8" t="s">
        <v>442</v>
      </c>
      <c r="G54" s="6" t="s">
        <v>38</v>
      </c>
      <c r="H54" s="6" t="s">
        <v>54</v>
      </c>
      <c r="I54" s="8" t="s">
        <v>247</v>
      </c>
      <c r="J54" s="9">
        <v>1</v>
      </c>
      <c r="K54" s="9">
        <v>384</v>
      </c>
      <c r="L54" s="9">
        <v>2023</v>
      </c>
      <c r="M54" s="8" t="s">
        <v>443</v>
      </c>
      <c r="N54" s="8" t="s">
        <v>264</v>
      </c>
      <c r="O54" s="8" t="s">
        <v>371</v>
      </c>
      <c r="P54" s="6" t="s">
        <v>44</v>
      </c>
      <c r="Q54" s="8" t="s">
        <v>444</v>
      </c>
      <c r="R54" s="10" t="s">
        <v>445</v>
      </c>
      <c r="S54" s="11" t="s">
        <v>446</v>
      </c>
      <c r="T54" s="6"/>
      <c r="U54" s="27" t="str">
        <f>HYPERLINK("https://media.infra-m.ru/2023/2023171/cover/2023171.jpg", "Обложка")</f>
        <v>Обложка</v>
      </c>
      <c r="V54" s="27" t="str">
        <f>HYPERLINK("https://znanium.ru/catalog/product/2023171", "Ознакомиться")</f>
        <v>Ознакомиться</v>
      </c>
      <c r="W54" s="8" t="s">
        <v>61</v>
      </c>
      <c r="X54" s="6"/>
      <c r="Y54" s="6" t="s">
        <v>30</v>
      </c>
      <c r="Z54" s="6"/>
      <c r="AA54" s="6"/>
      <c r="AB54" s="6" t="s">
        <v>350</v>
      </c>
    </row>
    <row r="55" spans="1:28" s="4" customFormat="1" ht="51.95" customHeight="1">
      <c r="A55" s="5">
        <v>0</v>
      </c>
      <c r="B55" s="6" t="s">
        <v>447</v>
      </c>
      <c r="C55" s="7">
        <v>2650</v>
      </c>
      <c r="D55" s="8" t="s">
        <v>448</v>
      </c>
      <c r="E55" s="8" t="s">
        <v>449</v>
      </c>
      <c r="F55" s="8" t="s">
        <v>450</v>
      </c>
      <c r="G55" s="6" t="s">
        <v>173</v>
      </c>
      <c r="H55" s="6" t="s">
        <v>54</v>
      </c>
      <c r="I55" s="8" t="s">
        <v>451</v>
      </c>
      <c r="J55" s="9">
        <v>1</v>
      </c>
      <c r="K55" s="9">
        <v>576</v>
      </c>
      <c r="L55" s="9">
        <v>2024</v>
      </c>
      <c r="M55" s="8" t="s">
        <v>452</v>
      </c>
      <c r="N55" s="8" t="s">
        <v>264</v>
      </c>
      <c r="O55" s="8" t="s">
        <v>371</v>
      </c>
      <c r="P55" s="6" t="s">
        <v>58</v>
      </c>
      <c r="Q55" s="8" t="s">
        <v>336</v>
      </c>
      <c r="R55" s="10" t="s">
        <v>453</v>
      </c>
      <c r="S55" s="11" t="s">
        <v>454</v>
      </c>
      <c r="T55" s="6"/>
      <c r="U55" s="27" t="str">
        <f>HYPERLINK("https://media.infra-m.ru/2087/2087717/cover/2087717.jpg", "Обложка")</f>
        <v>Обложка</v>
      </c>
      <c r="V55" s="27" t="str">
        <f>HYPERLINK("https://znanium.ru/catalog/product/2087717", "Ознакомиться")</f>
        <v>Ознакомиться</v>
      </c>
      <c r="W55" s="8" t="s">
        <v>455</v>
      </c>
      <c r="X55" s="6"/>
      <c r="Y55" s="6" t="s">
        <v>30</v>
      </c>
      <c r="Z55" s="6"/>
      <c r="AA55" s="6"/>
      <c r="AB55" s="6" t="s">
        <v>375</v>
      </c>
    </row>
    <row r="56" spans="1:28" s="4" customFormat="1" ht="51.95" customHeight="1">
      <c r="A56" s="5">
        <v>0</v>
      </c>
      <c r="B56" s="6" t="s">
        <v>456</v>
      </c>
      <c r="C56" s="7">
        <v>1382</v>
      </c>
      <c r="D56" s="8" t="s">
        <v>457</v>
      </c>
      <c r="E56" s="8" t="s">
        <v>458</v>
      </c>
      <c r="F56" s="8" t="s">
        <v>459</v>
      </c>
      <c r="G56" s="6" t="s">
        <v>38</v>
      </c>
      <c r="H56" s="6" t="s">
        <v>54</v>
      </c>
      <c r="I56" s="8" t="s">
        <v>247</v>
      </c>
      <c r="J56" s="9">
        <v>1</v>
      </c>
      <c r="K56" s="9">
        <v>230</v>
      </c>
      <c r="L56" s="9">
        <v>2024</v>
      </c>
      <c r="M56" s="8" t="s">
        <v>460</v>
      </c>
      <c r="N56" s="8" t="s">
        <v>264</v>
      </c>
      <c r="O56" s="8" t="s">
        <v>371</v>
      </c>
      <c r="P56" s="6" t="s">
        <v>44</v>
      </c>
      <c r="Q56" s="8" t="s">
        <v>88</v>
      </c>
      <c r="R56" s="10" t="s">
        <v>461</v>
      </c>
      <c r="S56" s="11" t="s">
        <v>462</v>
      </c>
      <c r="T56" s="6"/>
      <c r="U56" s="27" t="str">
        <f>HYPERLINK("https://media.infra-m.ru/2054/2054119/cover/2054119.jpg", "Обложка")</f>
        <v>Обложка</v>
      </c>
      <c r="V56" s="27" t="str">
        <f>HYPERLINK("https://znanium.ru/catalog/product/2054119", "Ознакомиться")</f>
        <v>Ознакомиться</v>
      </c>
      <c r="W56" s="8" t="s">
        <v>455</v>
      </c>
      <c r="X56" s="6"/>
      <c r="Y56" s="6" t="s">
        <v>30</v>
      </c>
      <c r="Z56" s="6"/>
      <c r="AA56" s="6"/>
      <c r="AB56" s="6" t="s">
        <v>356</v>
      </c>
    </row>
    <row r="57" spans="1:28" s="4" customFormat="1" ht="51.95" customHeight="1">
      <c r="A57" s="5">
        <v>0</v>
      </c>
      <c r="B57" s="6" t="s">
        <v>463</v>
      </c>
      <c r="C57" s="7">
        <v>2134</v>
      </c>
      <c r="D57" s="8" t="s">
        <v>464</v>
      </c>
      <c r="E57" s="8" t="s">
        <v>465</v>
      </c>
      <c r="F57" s="8" t="s">
        <v>466</v>
      </c>
      <c r="G57" s="6" t="s">
        <v>173</v>
      </c>
      <c r="H57" s="6" t="s">
        <v>39</v>
      </c>
      <c r="I57" s="8" t="s">
        <v>114</v>
      </c>
      <c r="J57" s="9">
        <v>1</v>
      </c>
      <c r="K57" s="9">
        <v>464</v>
      </c>
      <c r="L57" s="9">
        <v>2024</v>
      </c>
      <c r="M57" s="8" t="s">
        <v>467</v>
      </c>
      <c r="N57" s="8" t="s">
        <v>264</v>
      </c>
      <c r="O57" s="8" t="s">
        <v>468</v>
      </c>
      <c r="P57" s="6" t="s">
        <v>58</v>
      </c>
      <c r="Q57" s="8" t="s">
        <v>45</v>
      </c>
      <c r="R57" s="10" t="s">
        <v>469</v>
      </c>
      <c r="S57" s="11" t="s">
        <v>312</v>
      </c>
      <c r="T57" s="6"/>
      <c r="U57" s="27" t="str">
        <f>HYPERLINK("https://media.infra-m.ru/2056/2056630/cover/2056630.jpg", "Обложка")</f>
        <v>Обложка</v>
      </c>
      <c r="V57" s="27" t="str">
        <f>HYPERLINK("https://znanium.ru/catalog/product/1082973", "Ознакомиться")</f>
        <v>Ознакомиться</v>
      </c>
      <c r="W57" s="8" t="s">
        <v>470</v>
      </c>
      <c r="X57" s="6"/>
      <c r="Y57" s="6" t="s">
        <v>30</v>
      </c>
      <c r="Z57" s="6"/>
      <c r="AA57" s="6"/>
      <c r="AB57" s="6" t="s">
        <v>471</v>
      </c>
    </row>
    <row r="58" spans="1:28" s="4" customFormat="1" ht="51.95" customHeight="1">
      <c r="A58" s="5">
        <v>0</v>
      </c>
      <c r="B58" s="6" t="s">
        <v>472</v>
      </c>
      <c r="C58" s="7">
        <v>1850</v>
      </c>
      <c r="D58" s="8" t="s">
        <v>473</v>
      </c>
      <c r="E58" s="8" t="s">
        <v>474</v>
      </c>
      <c r="F58" s="8" t="s">
        <v>475</v>
      </c>
      <c r="G58" s="6" t="s">
        <v>38</v>
      </c>
      <c r="H58" s="6" t="s">
        <v>229</v>
      </c>
      <c r="I58" s="8"/>
      <c r="J58" s="9">
        <v>1</v>
      </c>
      <c r="K58" s="9">
        <v>400</v>
      </c>
      <c r="L58" s="9">
        <v>2024</v>
      </c>
      <c r="M58" s="8" t="s">
        <v>476</v>
      </c>
      <c r="N58" s="8" t="s">
        <v>56</v>
      </c>
      <c r="O58" s="8" t="s">
        <v>231</v>
      </c>
      <c r="P58" s="6" t="s">
        <v>58</v>
      </c>
      <c r="Q58" s="8" t="s">
        <v>79</v>
      </c>
      <c r="R58" s="10" t="s">
        <v>477</v>
      </c>
      <c r="S58" s="11" t="s">
        <v>478</v>
      </c>
      <c r="T58" s="6"/>
      <c r="U58" s="27" t="str">
        <f>HYPERLINK("https://media.infra-m.ru/2131/2131753/cover/2131753.jpg", "Обложка")</f>
        <v>Обложка</v>
      </c>
      <c r="V58" s="27" t="str">
        <f>HYPERLINK("https://znanium.ru/catalog/product/2131753", "Ознакомиться")</f>
        <v>Ознакомиться</v>
      </c>
      <c r="W58" s="8" t="s">
        <v>479</v>
      </c>
      <c r="X58" s="6"/>
      <c r="Y58" s="6" t="s">
        <v>30</v>
      </c>
      <c r="Z58" s="6"/>
      <c r="AA58" s="6"/>
      <c r="AB58" s="6" t="s">
        <v>480</v>
      </c>
    </row>
    <row r="59" spans="1:28" s="4" customFormat="1" ht="51.95" customHeight="1">
      <c r="A59" s="5">
        <v>0</v>
      </c>
      <c r="B59" s="6" t="s">
        <v>481</v>
      </c>
      <c r="C59" s="7">
        <v>1904.9</v>
      </c>
      <c r="D59" s="8" t="s">
        <v>482</v>
      </c>
      <c r="E59" s="8" t="s">
        <v>483</v>
      </c>
      <c r="F59" s="8" t="s">
        <v>484</v>
      </c>
      <c r="G59" s="6" t="s">
        <v>38</v>
      </c>
      <c r="H59" s="6" t="s">
        <v>54</v>
      </c>
      <c r="I59" s="8" t="s">
        <v>77</v>
      </c>
      <c r="J59" s="9">
        <v>1</v>
      </c>
      <c r="K59" s="9">
        <v>423</v>
      </c>
      <c r="L59" s="9">
        <v>2023</v>
      </c>
      <c r="M59" s="8" t="s">
        <v>485</v>
      </c>
      <c r="N59" s="8" t="s">
        <v>56</v>
      </c>
      <c r="O59" s="8" t="s">
        <v>57</v>
      </c>
      <c r="P59" s="6" t="s">
        <v>58</v>
      </c>
      <c r="Q59" s="8" t="s">
        <v>79</v>
      </c>
      <c r="R59" s="10" t="s">
        <v>486</v>
      </c>
      <c r="S59" s="11" t="s">
        <v>487</v>
      </c>
      <c r="T59" s="6"/>
      <c r="U59" s="27" t="str">
        <f>HYPERLINK("https://media.infra-m.ru/2002/2002660/cover/2002660.jpg", "Обложка")</f>
        <v>Обложка</v>
      </c>
      <c r="V59" s="27" t="str">
        <f>HYPERLINK("https://znanium.ru/catalog/product/996354", "Ознакомиться")</f>
        <v>Ознакомиться</v>
      </c>
      <c r="W59" s="8" t="s">
        <v>488</v>
      </c>
      <c r="X59" s="6"/>
      <c r="Y59" s="6" t="s">
        <v>30</v>
      </c>
      <c r="Z59" s="6"/>
      <c r="AA59" s="6"/>
      <c r="AB59" s="6" t="s">
        <v>383</v>
      </c>
    </row>
    <row r="60" spans="1:28" s="4" customFormat="1" ht="51.95" customHeight="1">
      <c r="A60" s="5">
        <v>0</v>
      </c>
      <c r="B60" s="6" t="s">
        <v>489</v>
      </c>
      <c r="C60" s="13">
        <v>910</v>
      </c>
      <c r="D60" s="8" t="s">
        <v>490</v>
      </c>
      <c r="E60" s="8" t="s">
        <v>491</v>
      </c>
      <c r="F60" s="8" t="s">
        <v>484</v>
      </c>
      <c r="G60" s="6" t="s">
        <v>173</v>
      </c>
      <c r="H60" s="6" t="s">
        <v>54</v>
      </c>
      <c r="I60" s="8" t="s">
        <v>77</v>
      </c>
      <c r="J60" s="9">
        <v>1</v>
      </c>
      <c r="K60" s="9">
        <v>301</v>
      </c>
      <c r="L60" s="9">
        <v>2018</v>
      </c>
      <c r="M60" s="8" t="s">
        <v>492</v>
      </c>
      <c r="N60" s="8" t="s">
        <v>56</v>
      </c>
      <c r="O60" s="8" t="s">
        <v>286</v>
      </c>
      <c r="P60" s="6" t="s">
        <v>58</v>
      </c>
      <c r="Q60" s="8" t="s">
        <v>79</v>
      </c>
      <c r="R60" s="10" t="s">
        <v>486</v>
      </c>
      <c r="S60" s="11" t="s">
        <v>487</v>
      </c>
      <c r="T60" s="6"/>
      <c r="U60" s="27" t="str">
        <f>HYPERLINK("https://media.infra-m.ru/0967/0967866/cover/967866.jpg", "Обложка")</f>
        <v>Обложка</v>
      </c>
      <c r="V60" s="27" t="str">
        <f>HYPERLINK("https://znanium.ru/catalog/product/996354", "Ознакомиться")</f>
        <v>Ознакомиться</v>
      </c>
      <c r="W60" s="8" t="s">
        <v>488</v>
      </c>
      <c r="X60" s="6"/>
      <c r="Y60" s="6" t="s">
        <v>30</v>
      </c>
      <c r="Z60" s="6"/>
      <c r="AA60" s="6"/>
      <c r="AB60" s="6" t="s">
        <v>215</v>
      </c>
    </row>
    <row r="61" spans="1:28" s="4" customFormat="1" ht="51.95" customHeight="1">
      <c r="A61" s="5">
        <v>0</v>
      </c>
      <c r="B61" s="6" t="s">
        <v>493</v>
      </c>
      <c r="C61" s="7">
        <v>2020</v>
      </c>
      <c r="D61" s="8" t="s">
        <v>494</v>
      </c>
      <c r="E61" s="8" t="s">
        <v>491</v>
      </c>
      <c r="F61" s="8" t="s">
        <v>495</v>
      </c>
      <c r="G61" s="6" t="s">
        <v>173</v>
      </c>
      <c r="H61" s="6" t="s">
        <v>54</v>
      </c>
      <c r="I61" s="8" t="s">
        <v>77</v>
      </c>
      <c r="J61" s="9">
        <v>1</v>
      </c>
      <c r="K61" s="9">
        <v>438</v>
      </c>
      <c r="L61" s="9">
        <v>2023</v>
      </c>
      <c r="M61" s="8" t="s">
        <v>496</v>
      </c>
      <c r="N61" s="8" t="s">
        <v>56</v>
      </c>
      <c r="O61" s="8" t="s">
        <v>126</v>
      </c>
      <c r="P61" s="6" t="s">
        <v>58</v>
      </c>
      <c r="Q61" s="8" t="s">
        <v>79</v>
      </c>
      <c r="R61" s="10" t="s">
        <v>497</v>
      </c>
      <c r="S61" s="11" t="s">
        <v>498</v>
      </c>
      <c r="T61" s="6"/>
      <c r="U61" s="27" t="str">
        <f>HYPERLINK("https://media.infra-m.ru/1960/1960101/cover/1960101.jpg", "Обложка")</f>
        <v>Обложка</v>
      </c>
      <c r="V61" s="27" t="str">
        <f>HYPERLINK("https://znanium.ru/catalog/product/1960101", "Ознакомиться")</f>
        <v>Ознакомиться</v>
      </c>
      <c r="W61" s="8" t="s">
        <v>499</v>
      </c>
      <c r="X61" s="6"/>
      <c r="Y61" s="6" t="s">
        <v>30</v>
      </c>
      <c r="Z61" s="6"/>
      <c r="AA61" s="6"/>
      <c r="AB61" s="6" t="s">
        <v>108</v>
      </c>
    </row>
    <row r="62" spans="1:28" s="4" customFormat="1" ht="51.95" customHeight="1">
      <c r="A62" s="5">
        <v>0</v>
      </c>
      <c r="B62" s="6" t="s">
        <v>500</v>
      </c>
      <c r="C62" s="7">
        <v>1510</v>
      </c>
      <c r="D62" s="8" t="s">
        <v>501</v>
      </c>
      <c r="E62" s="8" t="s">
        <v>502</v>
      </c>
      <c r="F62" s="8" t="s">
        <v>503</v>
      </c>
      <c r="G62" s="6" t="s">
        <v>38</v>
      </c>
      <c r="H62" s="6" t="s">
        <v>54</v>
      </c>
      <c r="I62" s="8" t="s">
        <v>247</v>
      </c>
      <c r="J62" s="9">
        <v>1</v>
      </c>
      <c r="K62" s="9">
        <v>328</v>
      </c>
      <c r="L62" s="9">
        <v>2023</v>
      </c>
      <c r="M62" s="8" t="s">
        <v>504</v>
      </c>
      <c r="N62" s="8" t="s">
        <v>264</v>
      </c>
      <c r="O62" s="8" t="s">
        <v>371</v>
      </c>
      <c r="P62" s="6" t="s">
        <v>58</v>
      </c>
      <c r="Q62" s="8" t="s">
        <v>88</v>
      </c>
      <c r="R62" s="10" t="s">
        <v>505</v>
      </c>
      <c r="S62" s="11" t="s">
        <v>506</v>
      </c>
      <c r="T62" s="6"/>
      <c r="U62" s="27" t="str">
        <f>HYPERLINK("https://media.infra-m.ru/2019/2019764/cover/2019764.jpg", "Обложка")</f>
        <v>Обложка</v>
      </c>
      <c r="V62" s="27" t="str">
        <f>HYPERLINK("https://znanium.ru/catalog/product/2019764", "Ознакомиться")</f>
        <v>Ознакомиться</v>
      </c>
      <c r="W62" s="8" t="s">
        <v>507</v>
      </c>
      <c r="X62" s="6"/>
      <c r="Y62" s="6" t="s">
        <v>30</v>
      </c>
      <c r="Z62" s="6"/>
      <c r="AA62" s="6"/>
      <c r="AB62" s="6" t="s">
        <v>300</v>
      </c>
    </row>
    <row r="63" spans="1:28" s="4" customFormat="1" ht="51.95" customHeight="1">
      <c r="A63" s="5">
        <v>0</v>
      </c>
      <c r="B63" s="6" t="s">
        <v>508</v>
      </c>
      <c r="C63" s="7">
        <v>1050</v>
      </c>
      <c r="D63" s="8" t="s">
        <v>509</v>
      </c>
      <c r="E63" s="8" t="s">
        <v>510</v>
      </c>
      <c r="F63" s="8" t="s">
        <v>511</v>
      </c>
      <c r="G63" s="6" t="s">
        <v>38</v>
      </c>
      <c r="H63" s="6" t="s">
        <v>54</v>
      </c>
      <c r="I63" s="8" t="s">
        <v>40</v>
      </c>
      <c r="J63" s="9">
        <v>1</v>
      </c>
      <c r="K63" s="9">
        <v>233</v>
      </c>
      <c r="L63" s="9">
        <v>2023</v>
      </c>
      <c r="M63" s="8" t="s">
        <v>512</v>
      </c>
      <c r="N63" s="8" t="s">
        <v>264</v>
      </c>
      <c r="O63" s="8" t="s">
        <v>371</v>
      </c>
      <c r="P63" s="6" t="s">
        <v>44</v>
      </c>
      <c r="Q63" s="8" t="s">
        <v>45</v>
      </c>
      <c r="R63" s="10" t="s">
        <v>513</v>
      </c>
      <c r="S63" s="11" t="s">
        <v>514</v>
      </c>
      <c r="T63" s="6" t="s">
        <v>348</v>
      </c>
      <c r="U63" s="27" t="str">
        <f>HYPERLINK("https://media.infra-m.ru/1920/1920318/cover/1920318.jpg", "Обложка")</f>
        <v>Обложка</v>
      </c>
      <c r="V63" s="27" t="str">
        <f>HYPERLINK("https://znanium.ru/catalog/product/1920318", "Ознакомиться")</f>
        <v>Ознакомиться</v>
      </c>
      <c r="W63" s="8" t="s">
        <v>515</v>
      </c>
      <c r="X63" s="6"/>
      <c r="Y63" s="6" t="s">
        <v>30</v>
      </c>
      <c r="Z63" s="6"/>
      <c r="AA63" s="6"/>
      <c r="AB63" s="6" t="s">
        <v>141</v>
      </c>
    </row>
    <row r="64" spans="1:28" s="4" customFormat="1" ht="51.95" customHeight="1">
      <c r="A64" s="5">
        <v>0</v>
      </c>
      <c r="B64" s="6" t="s">
        <v>516</v>
      </c>
      <c r="C64" s="7">
        <v>1760</v>
      </c>
      <c r="D64" s="8" t="s">
        <v>517</v>
      </c>
      <c r="E64" s="8" t="s">
        <v>518</v>
      </c>
      <c r="F64" s="8" t="s">
        <v>519</v>
      </c>
      <c r="G64" s="6" t="s">
        <v>38</v>
      </c>
      <c r="H64" s="6" t="s">
        <v>54</v>
      </c>
      <c r="I64" s="8" t="s">
        <v>77</v>
      </c>
      <c r="J64" s="9">
        <v>1</v>
      </c>
      <c r="K64" s="9">
        <v>393</v>
      </c>
      <c r="L64" s="9">
        <v>2021</v>
      </c>
      <c r="M64" s="8" t="s">
        <v>520</v>
      </c>
      <c r="N64" s="8" t="s">
        <v>137</v>
      </c>
      <c r="O64" s="8" t="s">
        <v>521</v>
      </c>
      <c r="P64" s="6" t="s">
        <v>44</v>
      </c>
      <c r="Q64" s="8" t="s">
        <v>79</v>
      </c>
      <c r="R64" s="10" t="s">
        <v>522</v>
      </c>
      <c r="S64" s="11" t="s">
        <v>523</v>
      </c>
      <c r="T64" s="6" t="s">
        <v>348</v>
      </c>
      <c r="U64" s="27" t="str">
        <f>HYPERLINK("https://media.infra-m.ru/1246/1246687/cover/1246687.jpg", "Обложка")</f>
        <v>Обложка</v>
      </c>
      <c r="V64" s="27" t="str">
        <f>HYPERLINK("https://znanium.ru/catalog/product/1907620", "Ознакомиться")</f>
        <v>Ознакомиться</v>
      </c>
      <c r="W64" s="8" t="s">
        <v>48</v>
      </c>
      <c r="X64" s="6"/>
      <c r="Y64" s="6" t="s">
        <v>30</v>
      </c>
      <c r="Z64" s="6"/>
      <c r="AA64" s="6"/>
      <c r="AB64" s="6" t="s">
        <v>524</v>
      </c>
    </row>
    <row r="65" spans="1:28" s="4" customFormat="1" ht="51.95" customHeight="1">
      <c r="A65" s="5">
        <v>0</v>
      </c>
      <c r="B65" s="6" t="s">
        <v>525</v>
      </c>
      <c r="C65" s="7">
        <v>1244.9000000000001</v>
      </c>
      <c r="D65" s="8" t="s">
        <v>526</v>
      </c>
      <c r="E65" s="8" t="s">
        <v>527</v>
      </c>
      <c r="F65" s="8" t="s">
        <v>528</v>
      </c>
      <c r="G65" s="6" t="s">
        <v>173</v>
      </c>
      <c r="H65" s="6" t="s">
        <v>54</v>
      </c>
      <c r="I65" s="8" t="s">
        <v>77</v>
      </c>
      <c r="J65" s="9">
        <v>1</v>
      </c>
      <c r="K65" s="9">
        <v>364</v>
      </c>
      <c r="L65" s="9">
        <v>2019</v>
      </c>
      <c r="M65" s="8" t="s">
        <v>529</v>
      </c>
      <c r="N65" s="8" t="s">
        <v>137</v>
      </c>
      <c r="O65" s="8" t="s">
        <v>521</v>
      </c>
      <c r="P65" s="6" t="s">
        <v>44</v>
      </c>
      <c r="Q65" s="8" t="s">
        <v>79</v>
      </c>
      <c r="R65" s="10" t="s">
        <v>522</v>
      </c>
      <c r="S65" s="11" t="s">
        <v>530</v>
      </c>
      <c r="T65" s="6" t="s">
        <v>348</v>
      </c>
      <c r="U65" s="27" t="str">
        <f>HYPERLINK("https://media.infra-m.ru/0991/0991884/cover/991884.jpg", "Обложка")</f>
        <v>Обложка</v>
      </c>
      <c r="V65" s="27" t="str">
        <f>HYPERLINK("https://znanium.ru/catalog/product/1907620", "Ознакомиться")</f>
        <v>Ознакомиться</v>
      </c>
      <c r="W65" s="8" t="s">
        <v>48</v>
      </c>
      <c r="X65" s="6"/>
      <c r="Y65" s="6" t="s">
        <v>30</v>
      </c>
      <c r="Z65" s="6"/>
      <c r="AA65" s="6"/>
      <c r="AB65" s="6" t="s">
        <v>422</v>
      </c>
    </row>
    <row r="66" spans="1:28" s="4" customFormat="1" ht="51.95" customHeight="1">
      <c r="A66" s="5">
        <v>0</v>
      </c>
      <c r="B66" s="6" t="s">
        <v>531</v>
      </c>
      <c r="C66" s="7">
        <v>1850</v>
      </c>
      <c r="D66" s="8" t="s">
        <v>532</v>
      </c>
      <c r="E66" s="8" t="s">
        <v>533</v>
      </c>
      <c r="F66" s="8" t="s">
        <v>519</v>
      </c>
      <c r="G66" s="6" t="s">
        <v>173</v>
      </c>
      <c r="H66" s="6" t="s">
        <v>54</v>
      </c>
      <c r="I66" s="8" t="s">
        <v>247</v>
      </c>
      <c r="J66" s="9">
        <v>1</v>
      </c>
      <c r="K66" s="9">
        <v>403</v>
      </c>
      <c r="L66" s="9">
        <v>2023</v>
      </c>
      <c r="M66" s="8" t="s">
        <v>534</v>
      </c>
      <c r="N66" s="8" t="s">
        <v>137</v>
      </c>
      <c r="O66" s="8" t="s">
        <v>521</v>
      </c>
      <c r="P66" s="6" t="s">
        <v>44</v>
      </c>
      <c r="Q66" s="8" t="s">
        <v>79</v>
      </c>
      <c r="R66" s="10" t="s">
        <v>522</v>
      </c>
      <c r="S66" s="11"/>
      <c r="T66" s="6" t="s">
        <v>348</v>
      </c>
      <c r="U66" s="27" t="str">
        <f>HYPERLINK("https://media.infra-m.ru/1907/1907620/cover/1907620.jpg", "Обложка")</f>
        <v>Обложка</v>
      </c>
      <c r="V66" s="27" t="str">
        <f>HYPERLINK("https://znanium.ru/catalog/product/1907620", "Ознакомиться")</f>
        <v>Ознакомиться</v>
      </c>
      <c r="W66" s="8" t="s">
        <v>48</v>
      </c>
      <c r="X66" s="6"/>
      <c r="Y66" s="6" t="s">
        <v>30</v>
      </c>
      <c r="Z66" s="6"/>
      <c r="AA66" s="6"/>
      <c r="AB66" s="6" t="s">
        <v>535</v>
      </c>
    </row>
    <row r="67" spans="1:28" s="4" customFormat="1" ht="51.95" customHeight="1">
      <c r="A67" s="5">
        <v>0</v>
      </c>
      <c r="B67" s="6" t="s">
        <v>536</v>
      </c>
      <c r="C67" s="13">
        <v>960</v>
      </c>
      <c r="D67" s="8" t="s">
        <v>537</v>
      </c>
      <c r="E67" s="8" t="s">
        <v>538</v>
      </c>
      <c r="F67" s="8" t="s">
        <v>539</v>
      </c>
      <c r="G67" s="6" t="s">
        <v>38</v>
      </c>
      <c r="H67" s="6" t="s">
        <v>54</v>
      </c>
      <c r="I67" s="8" t="s">
        <v>40</v>
      </c>
      <c r="J67" s="9">
        <v>1</v>
      </c>
      <c r="K67" s="9">
        <v>203</v>
      </c>
      <c r="L67" s="9">
        <v>2024</v>
      </c>
      <c r="M67" s="8" t="s">
        <v>540</v>
      </c>
      <c r="N67" s="8" t="s">
        <v>56</v>
      </c>
      <c r="O67" s="8" t="s">
        <v>57</v>
      </c>
      <c r="P67" s="6" t="s">
        <v>58</v>
      </c>
      <c r="Q67" s="8" t="s">
        <v>45</v>
      </c>
      <c r="R67" s="10" t="s">
        <v>541</v>
      </c>
      <c r="S67" s="11" t="s">
        <v>542</v>
      </c>
      <c r="T67" s="6"/>
      <c r="U67" s="27" t="str">
        <f>HYPERLINK("https://media.infra-m.ru/2141/2141116/cover/2141116.jpg", "Обложка")</f>
        <v>Обложка</v>
      </c>
      <c r="V67" s="27" t="str">
        <f>HYPERLINK("https://znanium.ru/catalog/product/2141116", "Ознакомиться")</f>
        <v>Ознакомиться</v>
      </c>
      <c r="W67" s="8" t="s">
        <v>543</v>
      </c>
      <c r="X67" s="6"/>
      <c r="Y67" s="6" t="s">
        <v>30</v>
      </c>
      <c r="Z67" s="6"/>
      <c r="AA67" s="6"/>
      <c r="AB67" s="6" t="s">
        <v>356</v>
      </c>
    </row>
    <row r="68" spans="1:28" s="4" customFormat="1" ht="51.95" customHeight="1">
      <c r="A68" s="5">
        <v>0</v>
      </c>
      <c r="B68" s="6" t="s">
        <v>544</v>
      </c>
      <c r="C68" s="7">
        <v>1450</v>
      </c>
      <c r="D68" s="8" t="s">
        <v>545</v>
      </c>
      <c r="E68" s="8" t="s">
        <v>546</v>
      </c>
      <c r="F68" s="8" t="s">
        <v>547</v>
      </c>
      <c r="G68" s="6" t="s">
        <v>38</v>
      </c>
      <c r="H68" s="6" t="s">
        <v>39</v>
      </c>
      <c r="I68" s="8" t="s">
        <v>114</v>
      </c>
      <c r="J68" s="9">
        <v>1</v>
      </c>
      <c r="K68" s="9">
        <v>232</v>
      </c>
      <c r="L68" s="9">
        <v>2024</v>
      </c>
      <c r="M68" s="8" t="s">
        <v>548</v>
      </c>
      <c r="N68" s="8" t="s">
        <v>56</v>
      </c>
      <c r="O68" s="8" t="s">
        <v>57</v>
      </c>
      <c r="P68" s="6" t="s">
        <v>58</v>
      </c>
      <c r="Q68" s="8" t="s">
        <v>45</v>
      </c>
      <c r="R68" s="10" t="s">
        <v>549</v>
      </c>
      <c r="S68" s="11" t="s">
        <v>319</v>
      </c>
      <c r="T68" s="6"/>
      <c r="U68" s="27" t="str">
        <f>HYPERLINK("https://media.infra-m.ru/2131/2131627/cover/2131627.jpg", "Обложка")</f>
        <v>Обложка</v>
      </c>
      <c r="V68" s="27" t="str">
        <f>HYPERLINK("https://znanium.ru/catalog/product/2131627", "Ознакомиться")</f>
        <v>Ознакомиться</v>
      </c>
      <c r="W68" s="8" t="s">
        <v>550</v>
      </c>
      <c r="X68" s="6"/>
      <c r="Y68" s="6" t="s">
        <v>30</v>
      </c>
      <c r="Z68" s="6"/>
      <c r="AA68" s="6"/>
      <c r="AB68" s="6" t="s">
        <v>551</v>
      </c>
    </row>
    <row r="69" spans="1:28" s="4" customFormat="1" ht="51.95" customHeight="1">
      <c r="A69" s="5">
        <v>0</v>
      </c>
      <c r="B69" s="6" t="s">
        <v>552</v>
      </c>
      <c r="C69" s="7">
        <v>1094.9000000000001</v>
      </c>
      <c r="D69" s="8" t="s">
        <v>553</v>
      </c>
      <c r="E69" s="8" t="s">
        <v>554</v>
      </c>
      <c r="F69" s="8" t="s">
        <v>555</v>
      </c>
      <c r="G69" s="6" t="s">
        <v>173</v>
      </c>
      <c r="H69" s="6" t="s">
        <v>39</v>
      </c>
      <c r="I69" s="8" t="s">
        <v>114</v>
      </c>
      <c r="J69" s="9">
        <v>1</v>
      </c>
      <c r="K69" s="9">
        <v>240</v>
      </c>
      <c r="L69" s="9">
        <v>2021</v>
      </c>
      <c r="M69" s="8" t="s">
        <v>556</v>
      </c>
      <c r="N69" s="8" t="s">
        <v>56</v>
      </c>
      <c r="O69" s="8" t="s">
        <v>57</v>
      </c>
      <c r="P69" s="6" t="s">
        <v>58</v>
      </c>
      <c r="Q69" s="8" t="s">
        <v>45</v>
      </c>
      <c r="R69" s="10" t="s">
        <v>549</v>
      </c>
      <c r="S69" s="11" t="s">
        <v>319</v>
      </c>
      <c r="T69" s="6"/>
      <c r="U69" s="27" t="str">
        <f>HYPERLINK("https://media.infra-m.ru/1254/1254669/cover/1254669.jpg", "Обложка")</f>
        <v>Обложка</v>
      </c>
      <c r="V69" s="27" t="str">
        <f>HYPERLINK("https://znanium.ru/catalog/product/2131627", "Ознакомиться")</f>
        <v>Ознакомиться</v>
      </c>
      <c r="W69" s="8" t="s">
        <v>550</v>
      </c>
      <c r="X69" s="6"/>
      <c r="Y69" s="6" t="s">
        <v>30</v>
      </c>
      <c r="Z69" s="6"/>
      <c r="AA69" s="6"/>
      <c r="AB69" s="6" t="s">
        <v>422</v>
      </c>
    </row>
    <row r="70" spans="1:28" s="4" customFormat="1" ht="51.95" customHeight="1">
      <c r="A70" s="5">
        <v>0</v>
      </c>
      <c r="B70" s="6" t="s">
        <v>557</v>
      </c>
      <c r="C70" s="13">
        <v>414</v>
      </c>
      <c r="D70" s="8" t="s">
        <v>558</v>
      </c>
      <c r="E70" s="8" t="s">
        <v>559</v>
      </c>
      <c r="F70" s="8" t="s">
        <v>547</v>
      </c>
      <c r="G70" s="6" t="s">
        <v>76</v>
      </c>
      <c r="H70" s="6" t="s">
        <v>39</v>
      </c>
      <c r="I70" s="8" t="s">
        <v>40</v>
      </c>
      <c r="J70" s="9">
        <v>1</v>
      </c>
      <c r="K70" s="9">
        <v>72</v>
      </c>
      <c r="L70" s="9">
        <v>2024</v>
      </c>
      <c r="M70" s="8" t="s">
        <v>560</v>
      </c>
      <c r="N70" s="8" t="s">
        <v>56</v>
      </c>
      <c r="O70" s="8" t="s">
        <v>57</v>
      </c>
      <c r="P70" s="6" t="s">
        <v>58</v>
      </c>
      <c r="Q70" s="8" t="s">
        <v>45</v>
      </c>
      <c r="R70" s="10" t="s">
        <v>561</v>
      </c>
      <c r="S70" s="11" t="s">
        <v>562</v>
      </c>
      <c r="T70" s="6"/>
      <c r="U70" s="27" t="str">
        <f>HYPERLINK("https://media.infra-m.ru/2141/2141043/cover/2141043.jpg", "Обложка")</f>
        <v>Обложка</v>
      </c>
      <c r="V70" s="27" t="str">
        <f>HYPERLINK("https://znanium.ru/catalog/product/1190665", "Ознакомиться")</f>
        <v>Ознакомиться</v>
      </c>
      <c r="W70" s="8" t="s">
        <v>550</v>
      </c>
      <c r="X70" s="6"/>
      <c r="Y70" s="6" t="s">
        <v>30</v>
      </c>
      <c r="Z70" s="6"/>
      <c r="AA70" s="6" t="s">
        <v>71</v>
      </c>
      <c r="AB70" s="6" t="s">
        <v>300</v>
      </c>
    </row>
    <row r="71" spans="1:28" s="4" customFormat="1" ht="51.95" customHeight="1">
      <c r="A71" s="5">
        <v>0</v>
      </c>
      <c r="B71" s="6" t="s">
        <v>563</v>
      </c>
      <c r="C71" s="7">
        <v>1312</v>
      </c>
      <c r="D71" s="8" t="s">
        <v>564</v>
      </c>
      <c r="E71" s="8" t="s">
        <v>565</v>
      </c>
      <c r="F71" s="8" t="s">
        <v>566</v>
      </c>
      <c r="G71" s="6" t="s">
        <v>38</v>
      </c>
      <c r="H71" s="6" t="s">
        <v>113</v>
      </c>
      <c r="I71" s="8" t="s">
        <v>114</v>
      </c>
      <c r="J71" s="9">
        <v>1</v>
      </c>
      <c r="K71" s="9">
        <v>224</v>
      </c>
      <c r="L71" s="9">
        <v>2023</v>
      </c>
      <c r="M71" s="8" t="s">
        <v>567</v>
      </c>
      <c r="N71" s="8" t="s">
        <v>56</v>
      </c>
      <c r="O71" s="8" t="s">
        <v>57</v>
      </c>
      <c r="P71" s="6" t="s">
        <v>58</v>
      </c>
      <c r="Q71" s="8" t="s">
        <v>45</v>
      </c>
      <c r="R71" s="10" t="s">
        <v>568</v>
      </c>
      <c r="S71" s="11" t="s">
        <v>569</v>
      </c>
      <c r="T71" s="6"/>
      <c r="U71" s="27" t="str">
        <f>HYPERLINK("https://media.infra-m.ru/1913/1913346/cover/1913346.jpg", "Обложка")</f>
        <v>Обложка</v>
      </c>
      <c r="V71" s="27" t="str">
        <f>HYPERLINK("https://znanium.ru/catalog/product/1832153", "Ознакомиться")</f>
        <v>Ознакомиться</v>
      </c>
      <c r="W71" s="8" t="s">
        <v>570</v>
      </c>
      <c r="X71" s="6"/>
      <c r="Y71" s="6" t="s">
        <v>30</v>
      </c>
      <c r="Z71" s="6"/>
      <c r="AA71" s="6"/>
      <c r="AB71" s="6" t="s">
        <v>571</v>
      </c>
    </row>
    <row r="72" spans="1:28" s="4" customFormat="1" ht="51.95" customHeight="1">
      <c r="A72" s="5">
        <v>0</v>
      </c>
      <c r="B72" s="6" t="s">
        <v>572</v>
      </c>
      <c r="C72" s="13">
        <v>469.9</v>
      </c>
      <c r="D72" s="8" t="s">
        <v>573</v>
      </c>
      <c r="E72" s="8" t="s">
        <v>574</v>
      </c>
      <c r="F72" s="8" t="s">
        <v>575</v>
      </c>
      <c r="G72" s="6"/>
      <c r="H72" s="6" t="s">
        <v>54</v>
      </c>
      <c r="I72" s="8" t="s">
        <v>77</v>
      </c>
      <c r="J72" s="9">
        <v>16</v>
      </c>
      <c r="K72" s="9">
        <v>234</v>
      </c>
      <c r="L72" s="9">
        <v>2015</v>
      </c>
      <c r="M72" s="8" t="s">
        <v>576</v>
      </c>
      <c r="N72" s="8" t="s">
        <v>137</v>
      </c>
      <c r="O72" s="8" t="s">
        <v>521</v>
      </c>
      <c r="P72" s="6" t="s">
        <v>58</v>
      </c>
      <c r="Q72" s="8" t="s">
        <v>79</v>
      </c>
      <c r="R72" s="10" t="s">
        <v>577</v>
      </c>
      <c r="S72" s="11" t="s">
        <v>578</v>
      </c>
      <c r="T72" s="6"/>
      <c r="U72" s="27" t="str">
        <f>HYPERLINK("https://media.infra-m.ru/0488/0488066/cover/488066.jpg", "Обложка")</f>
        <v>Обложка</v>
      </c>
      <c r="V72" s="27" t="str">
        <f>HYPERLINK("https://znanium.ru/catalog/product/1007087", "Ознакомиться")</f>
        <v>Ознакомиться</v>
      </c>
      <c r="W72" s="8" t="s">
        <v>579</v>
      </c>
      <c r="X72" s="6"/>
      <c r="Y72" s="6" t="s">
        <v>30</v>
      </c>
      <c r="Z72" s="6"/>
      <c r="AA72" s="6"/>
      <c r="AB72" s="6" t="s">
        <v>340</v>
      </c>
    </row>
    <row r="73" spans="1:28" s="4" customFormat="1" ht="42" customHeight="1">
      <c r="A73" s="5">
        <v>0</v>
      </c>
      <c r="B73" s="6" t="s">
        <v>580</v>
      </c>
      <c r="C73" s="13">
        <v>670</v>
      </c>
      <c r="D73" s="8" t="s">
        <v>581</v>
      </c>
      <c r="E73" s="8" t="s">
        <v>582</v>
      </c>
      <c r="F73" s="8" t="s">
        <v>583</v>
      </c>
      <c r="G73" s="6" t="s">
        <v>76</v>
      </c>
      <c r="H73" s="6" t="s">
        <v>295</v>
      </c>
      <c r="I73" s="8" t="s">
        <v>584</v>
      </c>
      <c r="J73" s="9">
        <v>1</v>
      </c>
      <c r="K73" s="9">
        <v>160</v>
      </c>
      <c r="L73" s="9">
        <v>2022</v>
      </c>
      <c r="M73" s="8" t="s">
        <v>585</v>
      </c>
      <c r="N73" s="8" t="s">
        <v>56</v>
      </c>
      <c r="O73" s="8" t="s">
        <v>116</v>
      </c>
      <c r="P73" s="6" t="s">
        <v>396</v>
      </c>
      <c r="Q73" s="8" t="s">
        <v>397</v>
      </c>
      <c r="R73" s="10" t="s">
        <v>586</v>
      </c>
      <c r="S73" s="11"/>
      <c r="T73" s="6"/>
      <c r="U73" s="27" t="str">
        <f>HYPERLINK("https://media.infra-m.ru/1818/1818210/cover/1818210.jpg", "Обложка")</f>
        <v>Обложка</v>
      </c>
      <c r="V73" s="27" t="str">
        <f>HYPERLINK("https://znanium.ru/catalog/product/1818210", "Ознакомиться")</f>
        <v>Ознакомиться</v>
      </c>
      <c r="W73" s="8" t="s">
        <v>587</v>
      </c>
      <c r="X73" s="6"/>
      <c r="Y73" s="6" t="s">
        <v>30</v>
      </c>
      <c r="Z73" s="6"/>
      <c r="AA73" s="6"/>
      <c r="AB73" s="6" t="s">
        <v>215</v>
      </c>
    </row>
    <row r="74" spans="1:28" s="4" customFormat="1" ht="51.95" customHeight="1">
      <c r="A74" s="5">
        <v>0</v>
      </c>
      <c r="B74" s="6" t="s">
        <v>588</v>
      </c>
      <c r="C74" s="7">
        <v>1250</v>
      </c>
      <c r="D74" s="8" t="s">
        <v>589</v>
      </c>
      <c r="E74" s="8" t="s">
        <v>590</v>
      </c>
      <c r="F74" s="8" t="s">
        <v>591</v>
      </c>
      <c r="G74" s="6" t="s">
        <v>38</v>
      </c>
      <c r="H74" s="6" t="s">
        <v>54</v>
      </c>
      <c r="I74" s="8" t="s">
        <v>40</v>
      </c>
      <c r="J74" s="9">
        <v>1</v>
      </c>
      <c r="K74" s="9">
        <v>270</v>
      </c>
      <c r="L74" s="9">
        <v>2024</v>
      </c>
      <c r="M74" s="8" t="s">
        <v>592</v>
      </c>
      <c r="N74" s="8" t="s">
        <v>56</v>
      </c>
      <c r="O74" s="8" t="s">
        <v>593</v>
      </c>
      <c r="P74" s="6" t="s">
        <v>44</v>
      </c>
      <c r="Q74" s="8" t="s">
        <v>45</v>
      </c>
      <c r="R74" s="10" t="s">
        <v>594</v>
      </c>
      <c r="S74" s="11" t="s">
        <v>595</v>
      </c>
      <c r="T74" s="6" t="s">
        <v>348</v>
      </c>
      <c r="U74" s="27" t="str">
        <f>HYPERLINK("https://media.infra-m.ru/2086/2086858/cover/2086858.jpg", "Обложка")</f>
        <v>Обложка</v>
      </c>
      <c r="V74" s="27" t="str">
        <f>HYPERLINK("https://znanium.ru/catalog/product/2086858", "Ознакомиться")</f>
        <v>Ознакомиться</v>
      </c>
      <c r="W74" s="8" t="s">
        <v>61</v>
      </c>
      <c r="X74" s="6"/>
      <c r="Y74" s="6" t="s">
        <v>30</v>
      </c>
      <c r="Z74" s="6"/>
      <c r="AA74" s="6"/>
      <c r="AB74" s="6" t="s">
        <v>98</v>
      </c>
    </row>
    <row r="75" spans="1:28" s="4" customFormat="1" ht="51.95" customHeight="1">
      <c r="A75" s="5">
        <v>0</v>
      </c>
      <c r="B75" s="6" t="s">
        <v>596</v>
      </c>
      <c r="C75" s="7">
        <v>1820</v>
      </c>
      <c r="D75" s="8" t="s">
        <v>597</v>
      </c>
      <c r="E75" s="8" t="s">
        <v>598</v>
      </c>
      <c r="F75" s="8" t="s">
        <v>599</v>
      </c>
      <c r="G75" s="6" t="s">
        <v>38</v>
      </c>
      <c r="H75" s="6" t="s">
        <v>54</v>
      </c>
      <c r="I75" s="8" t="s">
        <v>40</v>
      </c>
      <c r="J75" s="9">
        <v>1</v>
      </c>
      <c r="K75" s="9">
        <v>396</v>
      </c>
      <c r="L75" s="9">
        <v>2024</v>
      </c>
      <c r="M75" s="8" t="s">
        <v>600</v>
      </c>
      <c r="N75" s="8" t="s">
        <v>56</v>
      </c>
      <c r="O75" s="8" t="s">
        <v>286</v>
      </c>
      <c r="P75" s="6" t="s">
        <v>44</v>
      </c>
      <c r="Q75" s="8" t="s">
        <v>45</v>
      </c>
      <c r="R75" s="10" t="s">
        <v>601</v>
      </c>
      <c r="S75" s="11" t="s">
        <v>602</v>
      </c>
      <c r="T75" s="6"/>
      <c r="U75" s="27" t="str">
        <f>HYPERLINK("https://media.infra-m.ru/2080/2080327/cover/2080327.jpg", "Обложка")</f>
        <v>Обложка</v>
      </c>
      <c r="V75" s="27" t="str">
        <f>HYPERLINK("https://znanium.ru/catalog/product/2080327", "Ознакомиться")</f>
        <v>Ознакомиться</v>
      </c>
      <c r="W75" s="8" t="s">
        <v>603</v>
      </c>
      <c r="X75" s="6"/>
      <c r="Y75" s="6" t="s">
        <v>30</v>
      </c>
      <c r="Z75" s="6"/>
      <c r="AA75" s="6" t="s">
        <v>71</v>
      </c>
      <c r="AB75" s="6" t="s">
        <v>208</v>
      </c>
    </row>
    <row r="76" spans="1:28" s="4" customFormat="1" ht="51.95" customHeight="1">
      <c r="A76" s="5">
        <v>0</v>
      </c>
      <c r="B76" s="6" t="s">
        <v>604</v>
      </c>
      <c r="C76" s="13">
        <v>470</v>
      </c>
      <c r="D76" s="8" t="s">
        <v>605</v>
      </c>
      <c r="E76" s="8" t="s">
        <v>606</v>
      </c>
      <c r="F76" s="8" t="s">
        <v>599</v>
      </c>
      <c r="G76" s="6" t="s">
        <v>76</v>
      </c>
      <c r="H76" s="6" t="s">
        <v>54</v>
      </c>
      <c r="I76" s="8" t="s">
        <v>247</v>
      </c>
      <c r="J76" s="9">
        <v>1</v>
      </c>
      <c r="K76" s="9">
        <v>78</v>
      </c>
      <c r="L76" s="9">
        <v>2023</v>
      </c>
      <c r="M76" s="8" t="s">
        <v>607</v>
      </c>
      <c r="N76" s="8" t="s">
        <v>56</v>
      </c>
      <c r="O76" s="8" t="s">
        <v>286</v>
      </c>
      <c r="P76" s="6" t="s">
        <v>58</v>
      </c>
      <c r="Q76" s="8" t="s">
        <v>88</v>
      </c>
      <c r="R76" s="10" t="s">
        <v>608</v>
      </c>
      <c r="S76" s="11" t="s">
        <v>609</v>
      </c>
      <c r="T76" s="6"/>
      <c r="U76" s="27" t="str">
        <f>HYPERLINK("https://media.infra-m.ru/2029/2029802/cover/2029802.jpg", "Обложка")</f>
        <v>Обложка</v>
      </c>
      <c r="V76" s="27" t="str">
        <f>HYPERLINK("https://znanium.ru/catalog/product/2029802", "Ознакомиться")</f>
        <v>Ознакомиться</v>
      </c>
      <c r="W76" s="8" t="s">
        <v>603</v>
      </c>
      <c r="X76" s="6"/>
      <c r="Y76" s="6" t="s">
        <v>30</v>
      </c>
      <c r="Z76" s="6"/>
      <c r="AA76" s="6"/>
      <c r="AB76" s="6" t="s">
        <v>356</v>
      </c>
    </row>
    <row r="77" spans="1:28" s="4" customFormat="1" ht="51.95" customHeight="1">
      <c r="A77" s="5">
        <v>0</v>
      </c>
      <c r="B77" s="6" t="s">
        <v>610</v>
      </c>
      <c r="C77" s="13">
        <v>834.9</v>
      </c>
      <c r="D77" s="8" t="s">
        <v>611</v>
      </c>
      <c r="E77" s="8" t="s">
        <v>612</v>
      </c>
      <c r="F77" s="8" t="s">
        <v>613</v>
      </c>
      <c r="G77" s="6" t="s">
        <v>76</v>
      </c>
      <c r="H77" s="6" t="s">
        <v>229</v>
      </c>
      <c r="I77" s="8"/>
      <c r="J77" s="9">
        <v>1</v>
      </c>
      <c r="K77" s="9">
        <v>184</v>
      </c>
      <c r="L77" s="9">
        <v>2023</v>
      </c>
      <c r="M77" s="8" t="s">
        <v>614</v>
      </c>
      <c r="N77" s="8" t="s">
        <v>56</v>
      </c>
      <c r="O77" s="8" t="s">
        <v>286</v>
      </c>
      <c r="P77" s="6" t="s">
        <v>58</v>
      </c>
      <c r="Q77" s="8" t="s">
        <v>79</v>
      </c>
      <c r="R77" s="10" t="s">
        <v>615</v>
      </c>
      <c r="S77" s="11" t="s">
        <v>616</v>
      </c>
      <c r="T77" s="6"/>
      <c r="U77" s="27" t="str">
        <f>HYPERLINK("https://media.infra-m.ru/1911/1911817/cover/1911817.jpg", "Обложка")</f>
        <v>Обложка</v>
      </c>
      <c r="V77" s="27" t="str">
        <f>HYPERLINK("https://znanium.ru/catalog/product/1024062", "Ознакомиться")</f>
        <v>Ознакомиться</v>
      </c>
      <c r="W77" s="8" t="s">
        <v>617</v>
      </c>
      <c r="X77" s="6"/>
      <c r="Y77" s="6" t="s">
        <v>30</v>
      </c>
      <c r="Z77" s="6"/>
      <c r="AA77" s="6"/>
      <c r="AB77" s="6" t="s">
        <v>618</v>
      </c>
    </row>
    <row r="78" spans="1:28" s="4" customFormat="1" ht="51.95" customHeight="1">
      <c r="A78" s="5">
        <v>0</v>
      </c>
      <c r="B78" s="6" t="s">
        <v>619</v>
      </c>
      <c r="C78" s="7">
        <v>1714.9</v>
      </c>
      <c r="D78" s="8" t="s">
        <v>620</v>
      </c>
      <c r="E78" s="8" t="s">
        <v>621</v>
      </c>
      <c r="F78" s="8" t="s">
        <v>622</v>
      </c>
      <c r="G78" s="6" t="s">
        <v>38</v>
      </c>
      <c r="H78" s="6" t="s">
        <v>54</v>
      </c>
      <c r="I78" s="8" t="s">
        <v>40</v>
      </c>
      <c r="J78" s="9">
        <v>1</v>
      </c>
      <c r="K78" s="9">
        <v>381</v>
      </c>
      <c r="L78" s="9">
        <v>2023</v>
      </c>
      <c r="M78" s="8" t="s">
        <v>623</v>
      </c>
      <c r="N78" s="8" t="s">
        <v>56</v>
      </c>
      <c r="O78" s="8" t="s">
        <v>286</v>
      </c>
      <c r="P78" s="6" t="s">
        <v>44</v>
      </c>
      <c r="Q78" s="8" t="s">
        <v>45</v>
      </c>
      <c r="R78" s="10" t="s">
        <v>624</v>
      </c>
      <c r="S78" s="11" t="s">
        <v>625</v>
      </c>
      <c r="T78" s="6"/>
      <c r="U78" s="27" t="str">
        <f>HYPERLINK("https://media.infra-m.ru/1965/1965747/cover/1965747.jpg", "Обложка")</f>
        <v>Обложка</v>
      </c>
      <c r="V78" s="27" t="str">
        <f>HYPERLINK("https://znanium.ru/catalog/product/1896569", "Ознакомиться")</f>
        <v>Ознакомиться</v>
      </c>
      <c r="W78" s="8" t="s">
        <v>617</v>
      </c>
      <c r="X78" s="6"/>
      <c r="Y78" s="6" t="s">
        <v>30</v>
      </c>
      <c r="Z78" s="6"/>
      <c r="AA78" s="6"/>
      <c r="AB78" s="6" t="s">
        <v>141</v>
      </c>
    </row>
    <row r="79" spans="1:28" s="4" customFormat="1" ht="51.95" customHeight="1">
      <c r="A79" s="5">
        <v>0</v>
      </c>
      <c r="B79" s="6" t="s">
        <v>626</v>
      </c>
      <c r="C79" s="7">
        <v>2340</v>
      </c>
      <c r="D79" s="8" t="s">
        <v>627</v>
      </c>
      <c r="E79" s="8" t="s">
        <v>621</v>
      </c>
      <c r="F79" s="8" t="s">
        <v>628</v>
      </c>
      <c r="G79" s="6" t="s">
        <v>38</v>
      </c>
      <c r="H79" s="6" t="s">
        <v>54</v>
      </c>
      <c r="I79" s="8" t="s">
        <v>40</v>
      </c>
      <c r="J79" s="9">
        <v>1</v>
      </c>
      <c r="K79" s="9">
        <v>383</v>
      </c>
      <c r="L79" s="9">
        <v>2024</v>
      </c>
      <c r="M79" s="8" t="s">
        <v>629</v>
      </c>
      <c r="N79" s="8" t="s">
        <v>56</v>
      </c>
      <c r="O79" s="8" t="s">
        <v>286</v>
      </c>
      <c r="P79" s="6" t="s">
        <v>44</v>
      </c>
      <c r="Q79" s="8" t="s">
        <v>45</v>
      </c>
      <c r="R79" s="10" t="s">
        <v>630</v>
      </c>
      <c r="S79" s="11" t="s">
        <v>631</v>
      </c>
      <c r="T79" s="6"/>
      <c r="U79" s="27" t="str">
        <f>HYPERLINK("https://media.infra-m.ru/2084/2084079/cover/2084079.jpg", "Обложка")</f>
        <v>Обложка</v>
      </c>
      <c r="V79" s="27" t="str">
        <f>HYPERLINK("https://znanium.ru/catalog/product/2084079", "Ознакомиться")</f>
        <v>Ознакомиться</v>
      </c>
      <c r="W79" s="8" t="s">
        <v>632</v>
      </c>
      <c r="X79" s="6"/>
      <c r="Y79" s="6" t="s">
        <v>30</v>
      </c>
      <c r="Z79" s="6"/>
      <c r="AA79" s="6"/>
      <c r="AB79" s="6" t="s">
        <v>208</v>
      </c>
    </row>
    <row r="80" spans="1:28" s="4" customFormat="1" ht="51.95" customHeight="1">
      <c r="A80" s="5">
        <v>0</v>
      </c>
      <c r="B80" s="6" t="s">
        <v>633</v>
      </c>
      <c r="C80" s="13">
        <v>604</v>
      </c>
      <c r="D80" s="8" t="s">
        <v>634</v>
      </c>
      <c r="E80" s="8" t="s">
        <v>635</v>
      </c>
      <c r="F80" s="8" t="s">
        <v>636</v>
      </c>
      <c r="G80" s="6" t="s">
        <v>38</v>
      </c>
      <c r="H80" s="6" t="s">
        <v>135</v>
      </c>
      <c r="I80" s="8" t="s">
        <v>114</v>
      </c>
      <c r="J80" s="9">
        <v>1</v>
      </c>
      <c r="K80" s="9">
        <v>124</v>
      </c>
      <c r="L80" s="9">
        <v>2024</v>
      </c>
      <c r="M80" s="8" t="s">
        <v>637</v>
      </c>
      <c r="N80" s="8" t="s">
        <v>56</v>
      </c>
      <c r="O80" s="8" t="s">
        <v>231</v>
      </c>
      <c r="P80" s="6" t="s">
        <v>58</v>
      </c>
      <c r="Q80" s="8" t="s">
        <v>45</v>
      </c>
      <c r="R80" s="10" t="s">
        <v>638</v>
      </c>
      <c r="S80" s="11" t="s">
        <v>639</v>
      </c>
      <c r="T80" s="6"/>
      <c r="U80" s="27" t="str">
        <f>HYPERLINK("https://media.infra-m.ru/2107/2107303/cover/2107303.jpg", "Обложка")</f>
        <v>Обложка</v>
      </c>
      <c r="V80" s="27" t="str">
        <f>HYPERLINK("https://znanium.ru/catalog/product/1229451", "Ознакомиться")</f>
        <v>Ознакомиться</v>
      </c>
      <c r="W80" s="8" t="s">
        <v>640</v>
      </c>
      <c r="X80" s="6"/>
      <c r="Y80" s="6" t="s">
        <v>30</v>
      </c>
      <c r="Z80" s="6"/>
      <c r="AA80" s="6"/>
      <c r="AB80" s="6" t="s">
        <v>98</v>
      </c>
    </row>
    <row r="81" spans="1:28" s="4" customFormat="1" ht="51.95" customHeight="1">
      <c r="A81" s="5">
        <v>0</v>
      </c>
      <c r="B81" s="6" t="s">
        <v>641</v>
      </c>
      <c r="C81" s="7">
        <v>2440</v>
      </c>
      <c r="D81" s="8" t="s">
        <v>642</v>
      </c>
      <c r="E81" s="8" t="s">
        <v>643</v>
      </c>
      <c r="F81" s="8" t="s">
        <v>644</v>
      </c>
      <c r="G81" s="6" t="s">
        <v>38</v>
      </c>
      <c r="H81" s="6" t="s">
        <v>113</v>
      </c>
      <c r="I81" s="8" t="s">
        <v>40</v>
      </c>
      <c r="J81" s="9">
        <v>1</v>
      </c>
      <c r="K81" s="9">
        <v>542</v>
      </c>
      <c r="L81" s="9">
        <v>2023</v>
      </c>
      <c r="M81" s="8" t="s">
        <v>645</v>
      </c>
      <c r="N81" s="8" t="s">
        <v>56</v>
      </c>
      <c r="O81" s="8" t="s">
        <v>231</v>
      </c>
      <c r="P81" s="6" t="s">
        <v>44</v>
      </c>
      <c r="Q81" s="8" t="s">
        <v>45</v>
      </c>
      <c r="R81" s="10" t="s">
        <v>646</v>
      </c>
      <c r="S81" s="11" t="s">
        <v>647</v>
      </c>
      <c r="T81" s="6"/>
      <c r="U81" s="27" t="str">
        <f>HYPERLINK("https://media.infra-m.ru/1922/1922266/cover/1922266.jpg", "Обложка")</f>
        <v>Обложка</v>
      </c>
      <c r="V81" s="27" t="str">
        <f>HYPERLINK("https://znanium.ru/catalog/product/1922266", "Ознакомиться")</f>
        <v>Ознакомиться</v>
      </c>
      <c r="W81" s="8"/>
      <c r="X81" s="6"/>
      <c r="Y81" s="6" t="s">
        <v>30</v>
      </c>
      <c r="Z81" s="6"/>
      <c r="AA81" s="6"/>
      <c r="AB81" s="6" t="s">
        <v>62</v>
      </c>
    </row>
    <row r="82" spans="1:28" s="4" customFormat="1" ht="51.95" customHeight="1">
      <c r="A82" s="5">
        <v>0</v>
      </c>
      <c r="B82" s="6" t="s">
        <v>648</v>
      </c>
      <c r="C82" s="7">
        <v>1130</v>
      </c>
      <c r="D82" s="8" t="s">
        <v>649</v>
      </c>
      <c r="E82" s="8" t="s">
        <v>650</v>
      </c>
      <c r="F82" s="8" t="s">
        <v>651</v>
      </c>
      <c r="G82" s="6" t="s">
        <v>38</v>
      </c>
      <c r="H82" s="6" t="s">
        <v>54</v>
      </c>
      <c r="I82" s="8" t="s">
        <v>451</v>
      </c>
      <c r="J82" s="9">
        <v>1</v>
      </c>
      <c r="K82" s="9">
        <v>250</v>
      </c>
      <c r="L82" s="9">
        <v>2023</v>
      </c>
      <c r="M82" s="8" t="s">
        <v>652</v>
      </c>
      <c r="N82" s="8" t="s">
        <v>56</v>
      </c>
      <c r="O82" s="8" t="s">
        <v>231</v>
      </c>
      <c r="P82" s="6" t="s">
        <v>44</v>
      </c>
      <c r="Q82" s="8" t="s">
        <v>336</v>
      </c>
      <c r="R82" s="10" t="s">
        <v>653</v>
      </c>
      <c r="S82" s="11" t="s">
        <v>654</v>
      </c>
      <c r="T82" s="6"/>
      <c r="U82" s="27" t="str">
        <f>HYPERLINK("https://media.infra-m.ru/1903/1903327/cover/1903327.jpg", "Обложка")</f>
        <v>Обложка</v>
      </c>
      <c r="V82" s="27" t="str">
        <f>HYPERLINK("https://znanium.ru/catalog/product/1903327", "Ознакомиться")</f>
        <v>Ознакомиться</v>
      </c>
      <c r="W82" s="8" t="s">
        <v>159</v>
      </c>
      <c r="X82" s="6"/>
      <c r="Y82" s="6" t="s">
        <v>30</v>
      </c>
      <c r="Z82" s="6"/>
      <c r="AA82" s="6" t="s">
        <v>655</v>
      </c>
      <c r="AB82" s="6" t="s">
        <v>656</v>
      </c>
    </row>
    <row r="83" spans="1:28" s="4" customFormat="1" ht="51.95" customHeight="1">
      <c r="A83" s="5">
        <v>0</v>
      </c>
      <c r="B83" s="6" t="s">
        <v>657</v>
      </c>
      <c r="C83" s="7">
        <v>1740</v>
      </c>
      <c r="D83" s="8" t="s">
        <v>658</v>
      </c>
      <c r="E83" s="8" t="s">
        <v>650</v>
      </c>
      <c r="F83" s="8" t="s">
        <v>659</v>
      </c>
      <c r="G83" s="6" t="s">
        <v>38</v>
      </c>
      <c r="H83" s="6" t="s">
        <v>113</v>
      </c>
      <c r="I83" s="8" t="s">
        <v>40</v>
      </c>
      <c r="J83" s="9">
        <v>1</v>
      </c>
      <c r="K83" s="9">
        <v>367</v>
      </c>
      <c r="L83" s="9">
        <v>2024</v>
      </c>
      <c r="M83" s="8" t="s">
        <v>660</v>
      </c>
      <c r="N83" s="8" t="s">
        <v>56</v>
      </c>
      <c r="O83" s="8" t="s">
        <v>231</v>
      </c>
      <c r="P83" s="6" t="s">
        <v>58</v>
      </c>
      <c r="Q83" s="8" t="s">
        <v>45</v>
      </c>
      <c r="R83" s="10" t="s">
        <v>661</v>
      </c>
      <c r="S83" s="11" t="s">
        <v>240</v>
      </c>
      <c r="T83" s="6"/>
      <c r="U83" s="27" t="str">
        <f>HYPERLINK("https://media.infra-m.ru/2079/2079929/cover/2079929.jpg", "Обложка")</f>
        <v>Обложка</v>
      </c>
      <c r="V83" s="27" t="str">
        <f>HYPERLINK("https://znanium.ru/catalog/product/2079929", "Ознакомиться")</f>
        <v>Ознакомиться</v>
      </c>
      <c r="W83" s="8" t="s">
        <v>241</v>
      </c>
      <c r="X83" s="6"/>
      <c r="Y83" s="6" t="s">
        <v>30</v>
      </c>
      <c r="Z83" s="6"/>
      <c r="AA83" s="6"/>
      <c r="AB83" s="6" t="s">
        <v>120</v>
      </c>
    </row>
    <row r="84" spans="1:28" s="4" customFormat="1" ht="51.95" customHeight="1">
      <c r="A84" s="5">
        <v>0</v>
      </c>
      <c r="B84" s="6" t="s">
        <v>662</v>
      </c>
      <c r="C84" s="7">
        <v>1844</v>
      </c>
      <c r="D84" s="8" t="s">
        <v>663</v>
      </c>
      <c r="E84" s="8" t="s">
        <v>664</v>
      </c>
      <c r="F84" s="8" t="s">
        <v>665</v>
      </c>
      <c r="G84" s="6" t="s">
        <v>173</v>
      </c>
      <c r="H84" s="6" t="s">
        <v>39</v>
      </c>
      <c r="I84" s="8" t="s">
        <v>114</v>
      </c>
      <c r="J84" s="9">
        <v>1</v>
      </c>
      <c r="K84" s="9">
        <v>400</v>
      </c>
      <c r="L84" s="9">
        <v>2024</v>
      </c>
      <c r="M84" s="8" t="s">
        <v>666</v>
      </c>
      <c r="N84" s="8" t="s">
        <v>56</v>
      </c>
      <c r="O84" s="8" t="s">
        <v>57</v>
      </c>
      <c r="P84" s="6" t="s">
        <v>58</v>
      </c>
      <c r="Q84" s="8" t="s">
        <v>45</v>
      </c>
      <c r="R84" s="10" t="s">
        <v>667</v>
      </c>
      <c r="S84" s="11" t="s">
        <v>668</v>
      </c>
      <c r="T84" s="6"/>
      <c r="U84" s="27" t="str">
        <f>HYPERLINK("https://media.infra-m.ru/2102/2102678/cover/2102678.jpg", "Обложка")</f>
        <v>Обложка</v>
      </c>
      <c r="V84" s="27" t="str">
        <f>HYPERLINK("https://znanium.ru/catalog/product/1144495", "Ознакомиться")</f>
        <v>Ознакомиться</v>
      </c>
      <c r="W84" s="8" t="s">
        <v>669</v>
      </c>
      <c r="X84" s="6"/>
      <c r="Y84" s="6" t="s">
        <v>30</v>
      </c>
      <c r="Z84" s="6"/>
      <c r="AA84" s="6"/>
      <c r="AB84" s="6" t="s">
        <v>670</v>
      </c>
    </row>
    <row r="85" spans="1:28" s="4" customFormat="1" ht="51.95" customHeight="1">
      <c r="A85" s="5">
        <v>0</v>
      </c>
      <c r="B85" s="6" t="s">
        <v>671</v>
      </c>
      <c r="C85" s="7">
        <v>1270</v>
      </c>
      <c r="D85" s="8" t="s">
        <v>672</v>
      </c>
      <c r="E85" s="8" t="s">
        <v>673</v>
      </c>
      <c r="F85" s="8" t="s">
        <v>674</v>
      </c>
      <c r="G85" s="6" t="s">
        <v>38</v>
      </c>
      <c r="H85" s="6" t="s">
        <v>39</v>
      </c>
      <c r="I85" s="8" t="s">
        <v>40</v>
      </c>
      <c r="J85" s="9">
        <v>1</v>
      </c>
      <c r="K85" s="9">
        <v>280</v>
      </c>
      <c r="L85" s="9">
        <v>2023</v>
      </c>
      <c r="M85" s="8" t="s">
        <v>675</v>
      </c>
      <c r="N85" s="8" t="s">
        <v>264</v>
      </c>
      <c r="O85" s="8" t="s">
        <v>371</v>
      </c>
      <c r="P85" s="6" t="s">
        <v>44</v>
      </c>
      <c r="Q85" s="8" t="s">
        <v>45</v>
      </c>
      <c r="R85" s="10" t="s">
        <v>676</v>
      </c>
      <c r="S85" s="11" t="s">
        <v>677</v>
      </c>
      <c r="T85" s="6"/>
      <c r="U85" s="27" t="str">
        <f>HYPERLINK("https://media.infra-m.ru/1971/1971052/cover/1971052.jpg", "Обложка")</f>
        <v>Обложка</v>
      </c>
      <c r="V85" s="27" t="str">
        <f>HYPERLINK("https://znanium.ru/catalog/product/1971052", "Ознакомиться")</f>
        <v>Ознакомиться</v>
      </c>
      <c r="W85" s="8" t="s">
        <v>430</v>
      </c>
      <c r="X85" s="6"/>
      <c r="Y85" s="6" t="s">
        <v>30</v>
      </c>
      <c r="Z85" s="6"/>
      <c r="AA85" s="6" t="s">
        <v>71</v>
      </c>
      <c r="AB85" s="6" t="s">
        <v>678</v>
      </c>
    </row>
    <row r="86" spans="1:28" s="4" customFormat="1" ht="51.95" customHeight="1">
      <c r="A86" s="5">
        <v>0</v>
      </c>
      <c r="B86" s="6" t="s">
        <v>679</v>
      </c>
      <c r="C86" s="13">
        <v>990</v>
      </c>
      <c r="D86" s="8" t="s">
        <v>680</v>
      </c>
      <c r="E86" s="8" t="s">
        <v>681</v>
      </c>
      <c r="F86" s="8" t="s">
        <v>426</v>
      </c>
      <c r="G86" s="6" t="s">
        <v>38</v>
      </c>
      <c r="H86" s="6" t="s">
        <v>54</v>
      </c>
      <c r="I86" s="8" t="s">
        <v>40</v>
      </c>
      <c r="J86" s="9">
        <v>1</v>
      </c>
      <c r="K86" s="9">
        <v>215</v>
      </c>
      <c r="L86" s="9">
        <v>2024</v>
      </c>
      <c r="M86" s="8" t="s">
        <v>682</v>
      </c>
      <c r="N86" s="8" t="s">
        <v>264</v>
      </c>
      <c r="O86" s="8" t="s">
        <v>371</v>
      </c>
      <c r="P86" s="6" t="s">
        <v>58</v>
      </c>
      <c r="Q86" s="8" t="s">
        <v>45</v>
      </c>
      <c r="R86" s="10" t="s">
        <v>683</v>
      </c>
      <c r="S86" s="11" t="s">
        <v>684</v>
      </c>
      <c r="T86" s="6"/>
      <c r="U86" s="27" t="str">
        <f>HYPERLINK("https://media.infra-m.ru/2126/2126590/cover/2126590.jpg", "Обложка")</f>
        <v>Обложка</v>
      </c>
      <c r="V86" s="27" t="str">
        <f>HYPERLINK("https://znanium.ru/catalog/product/2126590", "Ознакомиться")</f>
        <v>Ознакомиться</v>
      </c>
      <c r="W86" s="8" t="s">
        <v>430</v>
      </c>
      <c r="X86" s="6"/>
      <c r="Y86" s="6" t="s">
        <v>30</v>
      </c>
      <c r="Z86" s="6"/>
      <c r="AA86" s="6" t="s">
        <v>71</v>
      </c>
      <c r="AB86" s="6" t="s">
        <v>685</v>
      </c>
    </row>
    <row r="87" spans="1:28" s="4" customFormat="1" ht="51.95" customHeight="1">
      <c r="A87" s="5">
        <v>0</v>
      </c>
      <c r="B87" s="6" t="s">
        <v>686</v>
      </c>
      <c r="C87" s="13">
        <v>870</v>
      </c>
      <c r="D87" s="8" t="s">
        <v>687</v>
      </c>
      <c r="E87" s="8" t="s">
        <v>688</v>
      </c>
      <c r="F87" s="8" t="s">
        <v>689</v>
      </c>
      <c r="G87" s="6" t="s">
        <v>38</v>
      </c>
      <c r="H87" s="6" t="s">
        <v>54</v>
      </c>
      <c r="I87" s="8" t="s">
        <v>361</v>
      </c>
      <c r="J87" s="9">
        <v>1</v>
      </c>
      <c r="K87" s="9">
        <v>108</v>
      </c>
      <c r="L87" s="9">
        <v>2024</v>
      </c>
      <c r="M87" s="8" t="s">
        <v>690</v>
      </c>
      <c r="N87" s="8" t="s">
        <v>56</v>
      </c>
      <c r="O87" s="8" t="s">
        <v>116</v>
      </c>
      <c r="P87" s="6" t="s">
        <v>58</v>
      </c>
      <c r="Q87" s="8" t="s">
        <v>336</v>
      </c>
      <c r="R87" s="10" t="s">
        <v>691</v>
      </c>
      <c r="S87" s="11" t="s">
        <v>692</v>
      </c>
      <c r="T87" s="6"/>
      <c r="U87" s="27" t="str">
        <f>HYPERLINK("https://media.infra-m.ru/2099/2099973/cover/2099973.jpg", "Обложка")</f>
        <v>Обложка</v>
      </c>
      <c r="V87" s="27" t="str">
        <f>HYPERLINK("https://znanium.ru/catalog/product/2099973", "Ознакомиться")</f>
        <v>Ознакомиться</v>
      </c>
      <c r="W87" s="8" t="s">
        <v>693</v>
      </c>
      <c r="X87" s="6"/>
      <c r="Y87" s="6" t="s">
        <v>30</v>
      </c>
      <c r="Z87" s="6"/>
      <c r="AA87" s="6"/>
      <c r="AB87" s="6" t="s">
        <v>208</v>
      </c>
    </row>
    <row r="88" spans="1:28" s="4" customFormat="1" ht="51.95" customHeight="1">
      <c r="A88" s="5">
        <v>0</v>
      </c>
      <c r="B88" s="6" t="s">
        <v>694</v>
      </c>
      <c r="C88" s="7">
        <v>1810</v>
      </c>
      <c r="D88" s="8" t="s">
        <v>695</v>
      </c>
      <c r="E88" s="8" t="s">
        <v>696</v>
      </c>
      <c r="F88" s="8" t="s">
        <v>697</v>
      </c>
      <c r="G88" s="6" t="s">
        <v>38</v>
      </c>
      <c r="H88" s="6" t="s">
        <v>113</v>
      </c>
      <c r="I88" s="8" t="s">
        <v>40</v>
      </c>
      <c r="J88" s="9">
        <v>1</v>
      </c>
      <c r="K88" s="9">
        <v>400</v>
      </c>
      <c r="L88" s="9">
        <v>2023</v>
      </c>
      <c r="M88" s="8" t="s">
        <v>698</v>
      </c>
      <c r="N88" s="8" t="s">
        <v>56</v>
      </c>
      <c r="O88" s="8" t="s">
        <v>231</v>
      </c>
      <c r="P88" s="6" t="s">
        <v>58</v>
      </c>
      <c r="Q88" s="8" t="s">
        <v>45</v>
      </c>
      <c r="R88" s="10" t="s">
        <v>699</v>
      </c>
      <c r="S88" s="11" t="s">
        <v>700</v>
      </c>
      <c r="T88" s="6" t="s">
        <v>348</v>
      </c>
      <c r="U88" s="27" t="str">
        <f>HYPERLINK("https://media.infra-m.ru/1905/1905248/cover/1905248.jpg", "Обложка")</f>
        <v>Обложка</v>
      </c>
      <c r="V88" s="27" t="str">
        <f>HYPERLINK("https://znanium.ru/catalog/product/1905248", "Ознакомиться")</f>
        <v>Ознакомиться</v>
      </c>
      <c r="W88" s="8" t="s">
        <v>701</v>
      </c>
      <c r="X88" s="6"/>
      <c r="Y88" s="6" t="s">
        <v>30</v>
      </c>
      <c r="Z88" s="6"/>
      <c r="AA88" s="6" t="s">
        <v>71</v>
      </c>
      <c r="AB88" s="6" t="s">
        <v>300</v>
      </c>
    </row>
    <row r="89" spans="1:28" s="4" customFormat="1" ht="51.95" customHeight="1">
      <c r="A89" s="5">
        <v>0</v>
      </c>
      <c r="B89" s="6" t="s">
        <v>702</v>
      </c>
      <c r="C89" s="7">
        <v>1840</v>
      </c>
      <c r="D89" s="8" t="s">
        <v>703</v>
      </c>
      <c r="E89" s="8" t="s">
        <v>696</v>
      </c>
      <c r="F89" s="8" t="s">
        <v>697</v>
      </c>
      <c r="G89" s="6" t="s">
        <v>38</v>
      </c>
      <c r="H89" s="6" t="s">
        <v>113</v>
      </c>
      <c r="I89" s="8" t="s">
        <v>247</v>
      </c>
      <c r="J89" s="9">
        <v>1</v>
      </c>
      <c r="K89" s="9">
        <v>400</v>
      </c>
      <c r="L89" s="9">
        <v>2024</v>
      </c>
      <c r="M89" s="8" t="s">
        <v>704</v>
      </c>
      <c r="N89" s="8" t="s">
        <v>56</v>
      </c>
      <c r="O89" s="8" t="s">
        <v>231</v>
      </c>
      <c r="P89" s="6" t="s">
        <v>58</v>
      </c>
      <c r="Q89" s="8" t="s">
        <v>79</v>
      </c>
      <c r="R89" s="10" t="s">
        <v>705</v>
      </c>
      <c r="S89" s="11" t="s">
        <v>706</v>
      </c>
      <c r="T89" s="6" t="s">
        <v>348</v>
      </c>
      <c r="U89" s="27" t="str">
        <f>HYPERLINK("https://media.infra-m.ru/2111/2111907/cover/2111907.jpg", "Обложка")</f>
        <v>Обложка</v>
      </c>
      <c r="V89" s="27" t="str">
        <f>HYPERLINK("https://znanium.ru/catalog/product/2111907", "Ознакомиться")</f>
        <v>Ознакомиться</v>
      </c>
      <c r="W89" s="8" t="s">
        <v>701</v>
      </c>
      <c r="X89" s="6"/>
      <c r="Y89" s="6" t="s">
        <v>30</v>
      </c>
      <c r="Z89" s="6"/>
      <c r="AA89" s="6"/>
      <c r="AB89" s="6" t="s">
        <v>98</v>
      </c>
    </row>
    <row r="90" spans="1:28" s="4" customFormat="1" ht="51.95" customHeight="1">
      <c r="A90" s="5">
        <v>0</v>
      </c>
      <c r="B90" s="6" t="s">
        <v>707</v>
      </c>
      <c r="C90" s="7">
        <v>2130</v>
      </c>
      <c r="D90" s="8" t="s">
        <v>708</v>
      </c>
      <c r="E90" s="8" t="s">
        <v>709</v>
      </c>
      <c r="F90" s="8" t="s">
        <v>710</v>
      </c>
      <c r="G90" s="6" t="s">
        <v>173</v>
      </c>
      <c r="H90" s="6" t="s">
        <v>39</v>
      </c>
      <c r="I90" s="8" t="s">
        <v>40</v>
      </c>
      <c r="J90" s="9">
        <v>1</v>
      </c>
      <c r="K90" s="9">
        <v>464</v>
      </c>
      <c r="L90" s="9">
        <v>2024</v>
      </c>
      <c r="M90" s="8" t="s">
        <v>711</v>
      </c>
      <c r="N90" s="8" t="s">
        <v>56</v>
      </c>
      <c r="O90" s="8" t="s">
        <v>231</v>
      </c>
      <c r="P90" s="6" t="s">
        <v>58</v>
      </c>
      <c r="Q90" s="8" t="s">
        <v>45</v>
      </c>
      <c r="R90" s="10" t="s">
        <v>712</v>
      </c>
      <c r="S90" s="11" t="s">
        <v>713</v>
      </c>
      <c r="T90" s="6"/>
      <c r="U90" s="27" t="str">
        <f>HYPERLINK("https://media.infra-m.ru/2122/2122501/cover/2122501.jpg", "Обложка")</f>
        <v>Обложка</v>
      </c>
      <c r="V90" s="27" t="str">
        <f>HYPERLINK("https://znanium.ru/catalog/product/2122501", "Ознакомиться")</f>
        <v>Ознакомиться</v>
      </c>
      <c r="W90" s="8" t="s">
        <v>714</v>
      </c>
      <c r="X90" s="6"/>
      <c r="Y90" s="6" t="s">
        <v>30</v>
      </c>
      <c r="Z90" s="6"/>
      <c r="AA90" s="6"/>
      <c r="AB90" s="6" t="s">
        <v>191</v>
      </c>
    </row>
    <row r="91" spans="1:28" s="4" customFormat="1" ht="51.95" customHeight="1">
      <c r="A91" s="5">
        <v>0</v>
      </c>
      <c r="B91" s="6" t="s">
        <v>715</v>
      </c>
      <c r="C91" s="7">
        <v>1530</v>
      </c>
      <c r="D91" s="8" t="s">
        <v>716</v>
      </c>
      <c r="E91" s="8" t="s">
        <v>717</v>
      </c>
      <c r="F91" s="8" t="s">
        <v>718</v>
      </c>
      <c r="G91" s="6" t="s">
        <v>76</v>
      </c>
      <c r="H91" s="6" t="s">
        <v>719</v>
      </c>
      <c r="I91" s="8"/>
      <c r="J91" s="9">
        <v>1</v>
      </c>
      <c r="K91" s="9">
        <v>336</v>
      </c>
      <c r="L91" s="9">
        <v>2023</v>
      </c>
      <c r="M91" s="8" t="s">
        <v>720</v>
      </c>
      <c r="N91" s="8" t="s">
        <v>137</v>
      </c>
      <c r="O91" s="8" t="s">
        <v>138</v>
      </c>
      <c r="P91" s="6" t="s">
        <v>58</v>
      </c>
      <c r="Q91" s="8" t="s">
        <v>79</v>
      </c>
      <c r="R91" s="10" t="s">
        <v>721</v>
      </c>
      <c r="S91" s="11"/>
      <c r="T91" s="6"/>
      <c r="U91" s="27" t="str">
        <f>HYPERLINK("https://media.infra-m.ru/1921/1921410/cover/1921410.jpg", "Обложка")</f>
        <v>Обложка</v>
      </c>
      <c r="V91" s="27" t="str">
        <f>HYPERLINK("https://znanium.ru/catalog/product/1921410", "Ознакомиться")</f>
        <v>Ознакомиться</v>
      </c>
      <c r="W91" s="8" t="s">
        <v>722</v>
      </c>
      <c r="X91" s="6"/>
      <c r="Y91" s="6" t="s">
        <v>30</v>
      </c>
      <c r="Z91" s="6"/>
      <c r="AA91" s="6"/>
      <c r="AB91" s="6" t="s">
        <v>356</v>
      </c>
    </row>
    <row r="92" spans="1:28" s="4" customFormat="1" ht="51.95" customHeight="1">
      <c r="A92" s="5">
        <v>0</v>
      </c>
      <c r="B92" s="6" t="s">
        <v>723</v>
      </c>
      <c r="C92" s="13">
        <v>734</v>
      </c>
      <c r="D92" s="8" t="s">
        <v>724</v>
      </c>
      <c r="E92" s="8" t="s">
        <v>725</v>
      </c>
      <c r="F92" s="8" t="s">
        <v>726</v>
      </c>
      <c r="G92" s="6" t="s">
        <v>38</v>
      </c>
      <c r="H92" s="6" t="s">
        <v>54</v>
      </c>
      <c r="I92" s="8" t="s">
        <v>40</v>
      </c>
      <c r="J92" s="9">
        <v>1</v>
      </c>
      <c r="K92" s="9">
        <v>159</v>
      </c>
      <c r="L92" s="9">
        <v>2024</v>
      </c>
      <c r="M92" s="8" t="s">
        <v>727</v>
      </c>
      <c r="N92" s="8" t="s">
        <v>56</v>
      </c>
      <c r="O92" s="8" t="s">
        <v>593</v>
      </c>
      <c r="P92" s="6" t="s">
        <v>44</v>
      </c>
      <c r="Q92" s="8" t="s">
        <v>45</v>
      </c>
      <c r="R92" s="10" t="s">
        <v>728</v>
      </c>
      <c r="S92" s="11" t="s">
        <v>729</v>
      </c>
      <c r="T92" s="6"/>
      <c r="U92" s="27" t="str">
        <f>HYPERLINK("https://media.infra-m.ru/2104/2104861/cover/2104861.jpg", "Обложка")</f>
        <v>Обложка</v>
      </c>
      <c r="V92" s="27" t="str">
        <f>HYPERLINK("https://znanium.ru/catalog/product/1851652", "Ознакомиться")</f>
        <v>Ознакомиться</v>
      </c>
      <c r="W92" s="8" t="s">
        <v>730</v>
      </c>
      <c r="X92" s="6"/>
      <c r="Y92" s="6" t="s">
        <v>30</v>
      </c>
      <c r="Z92" s="6"/>
      <c r="AA92" s="6"/>
      <c r="AB92" s="6" t="s">
        <v>731</v>
      </c>
    </row>
    <row r="93" spans="1:28" s="4" customFormat="1" ht="51.95" customHeight="1">
      <c r="A93" s="5">
        <v>0</v>
      </c>
      <c r="B93" s="6" t="s">
        <v>732</v>
      </c>
      <c r="C93" s="13">
        <v>930</v>
      </c>
      <c r="D93" s="8" t="s">
        <v>733</v>
      </c>
      <c r="E93" s="8" t="s">
        <v>734</v>
      </c>
      <c r="F93" s="8" t="s">
        <v>735</v>
      </c>
      <c r="G93" s="6" t="s">
        <v>38</v>
      </c>
      <c r="H93" s="6" t="s">
        <v>54</v>
      </c>
      <c r="I93" s="8" t="s">
        <v>40</v>
      </c>
      <c r="J93" s="9">
        <v>1</v>
      </c>
      <c r="K93" s="9">
        <v>199</v>
      </c>
      <c r="L93" s="9">
        <v>2023</v>
      </c>
      <c r="M93" s="8" t="s">
        <v>736</v>
      </c>
      <c r="N93" s="8" t="s">
        <v>137</v>
      </c>
      <c r="O93" s="8" t="s">
        <v>521</v>
      </c>
      <c r="P93" s="6" t="s">
        <v>58</v>
      </c>
      <c r="Q93" s="8" t="s">
        <v>45</v>
      </c>
      <c r="R93" s="10" t="s">
        <v>737</v>
      </c>
      <c r="S93" s="11" t="s">
        <v>738</v>
      </c>
      <c r="T93" s="6"/>
      <c r="U93" s="27" t="str">
        <f>HYPERLINK("https://media.infra-m.ru/1986/1986679/cover/1986679.jpg", "Обложка")</f>
        <v>Обложка</v>
      </c>
      <c r="V93" s="27" t="str">
        <f>HYPERLINK("https://znanium.ru/catalog/product/1986679", "Ознакомиться")</f>
        <v>Ознакомиться</v>
      </c>
      <c r="W93" s="8" t="s">
        <v>739</v>
      </c>
      <c r="X93" s="6"/>
      <c r="Y93" s="6" t="s">
        <v>30</v>
      </c>
      <c r="Z93" s="6"/>
      <c r="AA93" s="6" t="s">
        <v>71</v>
      </c>
      <c r="AB93" s="6" t="s">
        <v>383</v>
      </c>
    </row>
    <row r="94" spans="1:28" s="4" customFormat="1" ht="51.95" customHeight="1">
      <c r="A94" s="5">
        <v>0</v>
      </c>
      <c r="B94" s="6" t="s">
        <v>740</v>
      </c>
      <c r="C94" s="7">
        <v>1350</v>
      </c>
      <c r="D94" s="8" t="s">
        <v>741</v>
      </c>
      <c r="E94" s="8" t="s">
        <v>742</v>
      </c>
      <c r="F94" s="8" t="s">
        <v>743</v>
      </c>
      <c r="G94" s="6" t="s">
        <v>38</v>
      </c>
      <c r="H94" s="6" t="s">
        <v>54</v>
      </c>
      <c r="I94" s="8" t="s">
        <v>77</v>
      </c>
      <c r="J94" s="9">
        <v>1</v>
      </c>
      <c r="K94" s="9">
        <v>301</v>
      </c>
      <c r="L94" s="9">
        <v>2021</v>
      </c>
      <c r="M94" s="8" t="s">
        <v>744</v>
      </c>
      <c r="N94" s="8" t="s">
        <v>42</v>
      </c>
      <c r="O94" s="8" t="s">
        <v>405</v>
      </c>
      <c r="P94" s="6" t="s">
        <v>44</v>
      </c>
      <c r="Q94" s="8" t="s">
        <v>79</v>
      </c>
      <c r="R94" s="10" t="s">
        <v>745</v>
      </c>
      <c r="S94" s="11" t="s">
        <v>746</v>
      </c>
      <c r="T94" s="6"/>
      <c r="U94" s="27" t="str">
        <f>HYPERLINK("https://media.infra-m.ru/1950/1950299/cover/1950299.jpg", "Обложка")</f>
        <v>Обложка</v>
      </c>
      <c r="V94" s="27" t="str">
        <f>HYPERLINK("https://znanium.ru/catalog/product/1891836", "Ознакомиться")</f>
        <v>Ознакомиться</v>
      </c>
      <c r="W94" s="8" t="s">
        <v>747</v>
      </c>
      <c r="X94" s="6"/>
      <c r="Y94" s="6" t="s">
        <v>30</v>
      </c>
      <c r="Z94" s="6"/>
      <c r="AA94" s="6"/>
      <c r="AB94" s="6" t="s">
        <v>177</v>
      </c>
    </row>
    <row r="95" spans="1:28" s="4" customFormat="1" ht="51.95" customHeight="1">
      <c r="A95" s="5">
        <v>0</v>
      </c>
      <c r="B95" s="6" t="s">
        <v>748</v>
      </c>
      <c r="C95" s="13">
        <v>869.9</v>
      </c>
      <c r="D95" s="8" t="s">
        <v>749</v>
      </c>
      <c r="E95" s="8" t="s">
        <v>750</v>
      </c>
      <c r="F95" s="8" t="s">
        <v>751</v>
      </c>
      <c r="G95" s="6" t="s">
        <v>38</v>
      </c>
      <c r="H95" s="6" t="s">
        <v>54</v>
      </c>
      <c r="I95" s="8" t="s">
        <v>752</v>
      </c>
      <c r="J95" s="9">
        <v>1</v>
      </c>
      <c r="K95" s="9">
        <v>271</v>
      </c>
      <c r="L95" s="9">
        <v>2023</v>
      </c>
      <c r="M95" s="8" t="s">
        <v>753</v>
      </c>
      <c r="N95" s="8" t="s">
        <v>137</v>
      </c>
      <c r="O95" s="8" t="s">
        <v>754</v>
      </c>
      <c r="P95" s="6" t="s">
        <v>755</v>
      </c>
      <c r="Q95" s="8" t="s">
        <v>756</v>
      </c>
      <c r="R95" s="10" t="s">
        <v>757</v>
      </c>
      <c r="S95" s="11" t="s">
        <v>758</v>
      </c>
      <c r="T95" s="6"/>
      <c r="U95" s="27" t="str">
        <f>HYPERLINK("https://media.infra-m.ru/1991/1991059/cover/1991059.jpg", "Обложка")</f>
        <v>Обложка</v>
      </c>
      <c r="V95" s="27" t="str">
        <f>HYPERLINK("https://znanium.ru/catalog/product/1901146", "Ознакомиться")</f>
        <v>Ознакомиться</v>
      </c>
      <c r="W95" s="8"/>
      <c r="X95" s="6"/>
      <c r="Y95" s="6" t="s">
        <v>30</v>
      </c>
      <c r="Z95" s="6"/>
      <c r="AA95" s="6"/>
      <c r="AB95" s="6" t="s">
        <v>759</v>
      </c>
    </row>
    <row r="96" spans="1:28" s="4" customFormat="1" ht="51.95" customHeight="1">
      <c r="A96" s="5">
        <v>0</v>
      </c>
      <c r="B96" s="6" t="s">
        <v>760</v>
      </c>
      <c r="C96" s="13">
        <v>599.9</v>
      </c>
      <c r="D96" s="8" t="s">
        <v>761</v>
      </c>
      <c r="E96" s="8" t="s">
        <v>762</v>
      </c>
      <c r="F96" s="8" t="s">
        <v>751</v>
      </c>
      <c r="G96" s="6" t="s">
        <v>38</v>
      </c>
      <c r="H96" s="6" t="s">
        <v>54</v>
      </c>
      <c r="I96" s="8"/>
      <c r="J96" s="9">
        <v>1</v>
      </c>
      <c r="K96" s="9">
        <v>462</v>
      </c>
      <c r="L96" s="9">
        <v>2021</v>
      </c>
      <c r="M96" s="8" t="s">
        <v>763</v>
      </c>
      <c r="N96" s="8" t="s">
        <v>137</v>
      </c>
      <c r="O96" s="8" t="s">
        <v>754</v>
      </c>
      <c r="P96" s="6" t="s">
        <v>755</v>
      </c>
      <c r="Q96" s="8" t="s">
        <v>756</v>
      </c>
      <c r="R96" s="10" t="s">
        <v>757</v>
      </c>
      <c r="S96" s="11" t="s">
        <v>764</v>
      </c>
      <c r="T96" s="6"/>
      <c r="U96" s="27" t="str">
        <f>HYPERLINK("https://media.infra-m.ru/1142/1142541/cover/1142541.jpg", "Обложка")</f>
        <v>Обложка</v>
      </c>
      <c r="V96" s="27" t="str">
        <f>HYPERLINK("https://znanium.ru/catalog/product/1901146", "Ознакомиться")</f>
        <v>Ознакомиться</v>
      </c>
      <c r="W96" s="8"/>
      <c r="X96" s="6"/>
      <c r="Y96" s="6" t="s">
        <v>30</v>
      </c>
      <c r="Z96" s="6"/>
      <c r="AA96" s="6"/>
      <c r="AB96" s="6" t="s">
        <v>215</v>
      </c>
    </row>
    <row r="97" spans="1:28" s="4" customFormat="1" ht="51.95" customHeight="1">
      <c r="A97" s="5">
        <v>0</v>
      </c>
      <c r="B97" s="6" t="s">
        <v>765</v>
      </c>
      <c r="C97" s="13">
        <v>964</v>
      </c>
      <c r="D97" s="8" t="s">
        <v>766</v>
      </c>
      <c r="E97" s="8" t="s">
        <v>767</v>
      </c>
      <c r="F97" s="8" t="s">
        <v>768</v>
      </c>
      <c r="G97" s="6" t="s">
        <v>173</v>
      </c>
      <c r="H97" s="6" t="s">
        <v>54</v>
      </c>
      <c r="I97" s="8" t="s">
        <v>247</v>
      </c>
      <c r="J97" s="9">
        <v>1</v>
      </c>
      <c r="K97" s="9">
        <v>208</v>
      </c>
      <c r="L97" s="9">
        <v>2024</v>
      </c>
      <c r="M97" s="8" t="s">
        <v>769</v>
      </c>
      <c r="N97" s="8" t="s">
        <v>137</v>
      </c>
      <c r="O97" s="8" t="s">
        <v>297</v>
      </c>
      <c r="P97" s="6" t="s">
        <v>44</v>
      </c>
      <c r="Q97" s="8" t="s">
        <v>79</v>
      </c>
      <c r="R97" s="10" t="s">
        <v>770</v>
      </c>
      <c r="S97" s="11" t="s">
        <v>771</v>
      </c>
      <c r="T97" s="6"/>
      <c r="U97" s="27" t="str">
        <f>HYPERLINK("https://media.infra-m.ru/2094/2094504/cover/2094504.jpg", "Обложка")</f>
        <v>Обложка</v>
      </c>
      <c r="V97" s="27" t="str">
        <f>HYPERLINK("https://znanium.ru/catalog/product/1070534", "Ознакомиться")</f>
        <v>Ознакомиться</v>
      </c>
      <c r="W97" s="8" t="s">
        <v>274</v>
      </c>
      <c r="X97" s="6"/>
      <c r="Y97" s="6" t="s">
        <v>30</v>
      </c>
      <c r="Z97" s="6"/>
      <c r="AA97" s="6"/>
      <c r="AB97" s="6" t="s">
        <v>670</v>
      </c>
    </row>
    <row r="98" spans="1:28" s="4" customFormat="1" ht="51.95" customHeight="1">
      <c r="A98" s="5">
        <v>0</v>
      </c>
      <c r="B98" s="6" t="s">
        <v>772</v>
      </c>
      <c r="C98" s="7">
        <v>1434</v>
      </c>
      <c r="D98" s="8" t="s">
        <v>773</v>
      </c>
      <c r="E98" s="8" t="s">
        <v>774</v>
      </c>
      <c r="F98" s="8" t="s">
        <v>775</v>
      </c>
      <c r="G98" s="6" t="s">
        <v>38</v>
      </c>
      <c r="H98" s="6" t="s">
        <v>229</v>
      </c>
      <c r="I98" s="8" t="s">
        <v>40</v>
      </c>
      <c r="J98" s="9">
        <v>1</v>
      </c>
      <c r="K98" s="9">
        <v>304</v>
      </c>
      <c r="L98" s="9">
        <v>2024</v>
      </c>
      <c r="M98" s="8" t="s">
        <v>776</v>
      </c>
      <c r="N98" s="8" t="s">
        <v>264</v>
      </c>
      <c r="O98" s="8" t="s">
        <v>468</v>
      </c>
      <c r="P98" s="6" t="s">
        <v>44</v>
      </c>
      <c r="Q98" s="8" t="s">
        <v>45</v>
      </c>
      <c r="R98" s="10" t="s">
        <v>777</v>
      </c>
      <c r="S98" s="11"/>
      <c r="T98" s="6"/>
      <c r="U98" s="27" t="str">
        <f>HYPERLINK("https://media.infra-m.ru/2138/2138191/cover/2138191.jpg", "Обложка")</f>
        <v>Обложка</v>
      </c>
      <c r="V98" s="27" t="str">
        <f>HYPERLINK("https://znanium.ru/catalog/product/2135282", "Ознакомиться")</f>
        <v>Ознакомиться</v>
      </c>
      <c r="W98" s="8" t="s">
        <v>241</v>
      </c>
      <c r="X98" s="6"/>
      <c r="Y98" s="6" t="s">
        <v>30</v>
      </c>
      <c r="Z98" s="6"/>
      <c r="AA98" s="6"/>
      <c r="AB98" s="6" t="s">
        <v>215</v>
      </c>
    </row>
    <row r="99" spans="1:28" s="4" customFormat="1" ht="51.95" customHeight="1">
      <c r="A99" s="5">
        <v>0</v>
      </c>
      <c r="B99" s="6" t="s">
        <v>778</v>
      </c>
      <c r="C99" s="7">
        <v>1730</v>
      </c>
      <c r="D99" s="8" t="s">
        <v>779</v>
      </c>
      <c r="E99" s="8" t="s">
        <v>780</v>
      </c>
      <c r="F99" s="8" t="s">
        <v>775</v>
      </c>
      <c r="G99" s="6" t="s">
        <v>38</v>
      </c>
      <c r="H99" s="6" t="s">
        <v>229</v>
      </c>
      <c r="I99" s="8" t="s">
        <v>40</v>
      </c>
      <c r="J99" s="9">
        <v>1</v>
      </c>
      <c r="K99" s="9">
        <v>368</v>
      </c>
      <c r="L99" s="9">
        <v>2024</v>
      </c>
      <c r="M99" s="8" t="s">
        <v>781</v>
      </c>
      <c r="N99" s="8" t="s">
        <v>264</v>
      </c>
      <c r="O99" s="8" t="s">
        <v>468</v>
      </c>
      <c r="P99" s="6" t="s">
        <v>44</v>
      </c>
      <c r="Q99" s="8" t="s">
        <v>45</v>
      </c>
      <c r="R99" s="10" t="s">
        <v>782</v>
      </c>
      <c r="S99" s="11"/>
      <c r="T99" s="6"/>
      <c r="U99" s="27" t="str">
        <f>HYPERLINK("https://media.infra-m.ru/2145/2145214/cover/2145214.jpg", "Обложка")</f>
        <v>Обложка</v>
      </c>
      <c r="V99" s="27" t="str">
        <f>HYPERLINK("https://znanium.ru/catalog/product/2145214", "Ознакомиться")</f>
        <v>Ознакомиться</v>
      </c>
      <c r="W99" s="8" t="s">
        <v>241</v>
      </c>
      <c r="X99" s="6"/>
      <c r="Y99" s="6" t="s">
        <v>30</v>
      </c>
      <c r="Z99" s="6"/>
      <c r="AA99" s="6"/>
      <c r="AB99" s="6" t="s">
        <v>215</v>
      </c>
    </row>
    <row r="100" spans="1:28" s="4" customFormat="1" ht="51.95" customHeight="1">
      <c r="A100" s="5">
        <v>0</v>
      </c>
      <c r="B100" s="6" t="s">
        <v>783</v>
      </c>
      <c r="C100" s="7">
        <v>2500</v>
      </c>
      <c r="D100" s="8" t="s">
        <v>784</v>
      </c>
      <c r="E100" s="8" t="s">
        <v>785</v>
      </c>
      <c r="F100" s="8" t="s">
        <v>786</v>
      </c>
      <c r="G100" s="6" t="s">
        <v>173</v>
      </c>
      <c r="H100" s="6" t="s">
        <v>54</v>
      </c>
      <c r="I100" s="8" t="s">
        <v>40</v>
      </c>
      <c r="J100" s="9">
        <v>1</v>
      </c>
      <c r="K100" s="9">
        <v>544</v>
      </c>
      <c r="L100" s="9">
        <v>2024</v>
      </c>
      <c r="M100" s="8" t="s">
        <v>787</v>
      </c>
      <c r="N100" s="8" t="s">
        <v>264</v>
      </c>
      <c r="O100" s="8" t="s">
        <v>468</v>
      </c>
      <c r="P100" s="6" t="s">
        <v>44</v>
      </c>
      <c r="Q100" s="8" t="s">
        <v>45</v>
      </c>
      <c r="R100" s="10" t="s">
        <v>788</v>
      </c>
      <c r="S100" s="11" t="s">
        <v>789</v>
      </c>
      <c r="T100" s="6"/>
      <c r="U100" s="27" t="str">
        <f>HYPERLINK("https://media.infra-m.ru/2132/2132236/cover/2132236.jpg", "Обложка")</f>
        <v>Обложка</v>
      </c>
      <c r="V100" s="27" t="str">
        <f>HYPERLINK("https://znanium.ru/catalog/product/2132236", "Ознакомиться")</f>
        <v>Ознакомиться</v>
      </c>
      <c r="W100" s="8" t="s">
        <v>470</v>
      </c>
      <c r="X100" s="6"/>
      <c r="Y100" s="6" t="s">
        <v>30</v>
      </c>
      <c r="Z100" s="6"/>
      <c r="AA100" s="6"/>
      <c r="AB100" s="6" t="s">
        <v>790</v>
      </c>
    </row>
    <row r="101" spans="1:28" s="4" customFormat="1" ht="51.95" customHeight="1">
      <c r="A101" s="5">
        <v>0</v>
      </c>
      <c r="B101" s="6" t="s">
        <v>791</v>
      </c>
      <c r="C101" s="7">
        <v>2030</v>
      </c>
      <c r="D101" s="8" t="s">
        <v>792</v>
      </c>
      <c r="E101" s="8" t="s">
        <v>793</v>
      </c>
      <c r="F101" s="8" t="s">
        <v>794</v>
      </c>
      <c r="G101" s="6" t="s">
        <v>38</v>
      </c>
      <c r="H101" s="6" t="s">
        <v>39</v>
      </c>
      <c r="I101" s="8" t="s">
        <v>114</v>
      </c>
      <c r="J101" s="9">
        <v>1</v>
      </c>
      <c r="K101" s="9">
        <v>335</v>
      </c>
      <c r="L101" s="9">
        <v>2024</v>
      </c>
      <c r="M101" s="8" t="s">
        <v>795</v>
      </c>
      <c r="N101" s="8" t="s">
        <v>56</v>
      </c>
      <c r="O101" s="8" t="s">
        <v>286</v>
      </c>
      <c r="P101" s="6" t="s">
        <v>58</v>
      </c>
      <c r="Q101" s="8" t="s">
        <v>45</v>
      </c>
      <c r="R101" s="10" t="s">
        <v>796</v>
      </c>
      <c r="S101" s="11" t="s">
        <v>797</v>
      </c>
      <c r="T101" s="6"/>
      <c r="U101" s="27" t="str">
        <f>HYPERLINK("https://media.infra-m.ru/2111/2111927/cover/2111927.jpg", "Обложка")</f>
        <v>Обложка</v>
      </c>
      <c r="V101" s="27" t="str">
        <f>HYPERLINK("https://znanium.ru/catalog/product/2111927", "Ознакомиться")</f>
        <v>Ознакомиться</v>
      </c>
      <c r="W101" s="8" t="s">
        <v>617</v>
      </c>
      <c r="X101" s="6"/>
      <c r="Y101" s="6" t="s">
        <v>30</v>
      </c>
      <c r="Z101" s="6"/>
      <c r="AA101" s="6"/>
      <c r="AB101" s="6" t="s">
        <v>798</v>
      </c>
    </row>
    <row r="102" spans="1:28" s="4" customFormat="1" ht="51.95" customHeight="1">
      <c r="A102" s="5">
        <v>0</v>
      </c>
      <c r="B102" s="6" t="s">
        <v>799</v>
      </c>
      <c r="C102" s="7">
        <v>1784.9</v>
      </c>
      <c r="D102" s="8" t="s">
        <v>800</v>
      </c>
      <c r="E102" s="8" t="s">
        <v>801</v>
      </c>
      <c r="F102" s="8" t="s">
        <v>802</v>
      </c>
      <c r="G102" s="6" t="s">
        <v>173</v>
      </c>
      <c r="H102" s="6" t="s">
        <v>54</v>
      </c>
      <c r="I102" s="8" t="s">
        <v>77</v>
      </c>
      <c r="J102" s="9">
        <v>1</v>
      </c>
      <c r="K102" s="9">
        <v>397</v>
      </c>
      <c r="L102" s="9">
        <v>2023</v>
      </c>
      <c r="M102" s="8" t="s">
        <v>803</v>
      </c>
      <c r="N102" s="8" t="s">
        <v>56</v>
      </c>
      <c r="O102" s="8" t="s">
        <v>57</v>
      </c>
      <c r="P102" s="6" t="s">
        <v>44</v>
      </c>
      <c r="Q102" s="8" t="s">
        <v>79</v>
      </c>
      <c r="R102" s="10" t="s">
        <v>804</v>
      </c>
      <c r="S102" s="11" t="s">
        <v>805</v>
      </c>
      <c r="T102" s="6"/>
      <c r="U102" s="27" t="str">
        <f>HYPERLINK("https://media.infra-m.ru/1891/1891353/cover/1891353.jpg", "Обложка")</f>
        <v>Обложка</v>
      </c>
      <c r="V102" s="27" t="str">
        <f>HYPERLINK("https://znanium.ru/catalog/product/1941721", "Ознакомиться")</f>
        <v>Ознакомиться</v>
      </c>
      <c r="W102" s="8" t="s">
        <v>267</v>
      </c>
      <c r="X102" s="6"/>
      <c r="Y102" s="6" t="s">
        <v>30</v>
      </c>
      <c r="Z102" s="6"/>
      <c r="AA102" s="6"/>
      <c r="AB102" s="6" t="s">
        <v>98</v>
      </c>
    </row>
    <row r="103" spans="1:28" s="4" customFormat="1" ht="51.95" customHeight="1">
      <c r="A103" s="5">
        <v>0</v>
      </c>
      <c r="B103" s="6" t="s">
        <v>806</v>
      </c>
      <c r="C103" s="7">
        <v>1030</v>
      </c>
      <c r="D103" s="8" t="s">
        <v>807</v>
      </c>
      <c r="E103" s="8" t="s">
        <v>808</v>
      </c>
      <c r="F103" s="8" t="s">
        <v>809</v>
      </c>
      <c r="G103" s="6" t="s">
        <v>38</v>
      </c>
      <c r="H103" s="6" t="s">
        <v>54</v>
      </c>
      <c r="I103" s="8" t="s">
        <v>40</v>
      </c>
      <c r="J103" s="9">
        <v>1</v>
      </c>
      <c r="K103" s="9">
        <v>320</v>
      </c>
      <c r="L103" s="9">
        <v>2019</v>
      </c>
      <c r="M103" s="8" t="s">
        <v>810</v>
      </c>
      <c r="N103" s="8" t="s">
        <v>56</v>
      </c>
      <c r="O103" s="8" t="s">
        <v>286</v>
      </c>
      <c r="P103" s="6" t="s">
        <v>44</v>
      </c>
      <c r="Q103" s="8" t="s">
        <v>45</v>
      </c>
      <c r="R103" s="10" t="s">
        <v>811</v>
      </c>
      <c r="S103" s="11" t="s">
        <v>812</v>
      </c>
      <c r="T103" s="6"/>
      <c r="U103" s="27" t="str">
        <f>HYPERLINK("https://media.infra-m.ru/1030/1030374/cover/1030374.jpg", "Обложка")</f>
        <v>Обложка</v>
      </c>
      <c r="V103" s="27" t="str">
        <f>HYPERLINK("https://znanium.ru/catalog/product/1030374", "Ознакомиться")</f>
        <v>Ознакомиться</v>
      </c>
      <c r="W103" s="8" t="s">
        <v>617</v>
      </c>
      <c r="X103" s="6"/>
      <c r="Y103" s="6" t="s">
        <v>30</v>
      </c>
      <c r="Z103" s="6"/>
      <c r="AA103" s="6" t="s">
        <v>71</v>
      </c>
      <c r="AB103" s="6" t="s">
        <v>141</v>
      </c>
    </row>
    <row r="104" spans="1:28" s="4" customFormat="1" ht="51.95" customHeight="1">
      <c r="A104" s="5">
        <v>0</v>
      </c>
      <c r="B104" s="6" t="s">
        <v>813</v>
      </c>
      <c r="C104" s="7">
        <v>1734</v>
      </c>
      <c r="D104" s="8" t="s">
        <v>814</v>
      </c>
      <c r="E104" s="8" t="s">
        <v>815</v>
      </c>
      <c r="F104" s="8" t="s">
        <v>816</v>
      </c>
      <c r="G104" s="6" t="s">
        <v>173</v>
      </c>
      <c r="H104" s="6" t="s">
        <v>113</v>
      </c>
      <c r="I104" s="8" t="s">
        <v>114</v>
      </c>
      <c r="J104" s="9">
        <v>1</v>
      </c>
      <c r="K104" s="9">
        <v>368</v>
      </c>
      <c r="L104" s="9">
        <v>2024</v>
      </c>
      <c r="M104" s="8" t="s">
        <v>817</v>
      </c>
      <c r="N104" s="8" t="s">
        <v>56</v>
      </c>
      <c r="O104" s="8" t="s">
        <v>286</v>
      </c>
      <c r="P104" s="6" t="s">
        <v>58</v>
      </c>
      <c r="Q104" s="8" t="s">
        <v>45</v>
      </c>
      <c r="R104" s="10" t="s">
        <v>818</v>
      </c>
      <c r="S104" s="11" t="s">
        <v>819</v>
      </c>
      <c r="T104" s="6"/>
      <c r="U104" s="27" t="str">
        <f>HYPERLINK("https://media.infra-m.ru/2149/2149193/cover/2149193.jpg", "Обложка")</f>
        <v>Обложка</v>
      </c>
      <c r="V104" s="27" t="str">
        <f>HYPERLINK("https://znanium.ru/catalog/product/1911145", "Ознакомиться")</f>
        <v>Ознакомиться</v>
      </c>
      <c r="W104" s="8" t="s">
        <v>820</v>
      </c>
      <c r="X104" s="6"/>
      <c r="Y104" s="6" t="s">
        <v>30</v>
      </c>
      <c r="Z104" s="6"/>
      <c r="AA104" s="6"/>
      <c r="AB104" s="6" t="s">
        <v>120</v>
      </c>
    </row>
    <row r="105" spans="1:28" s="4" customFormat="1" ht="51.95" customHeight="1">
      <c r="A105" s="5">
        <v>0</v>
      </c>
      <c r="B105" s="6" t="s">
        <v>821</v>
      </c>
      <c r="C105" s="13">
        <v>664.9</v>
      </c>
      <c r="D105" s="8" t="s">
        <v>822</v>
      </c>
      <c r="E105" s="8" t="s">
        <v>823</v>
      </c>
      <c r="F105" s="8" t="s">
        <v>824</v>
      </c>
      <c r="G105" s="6" t="s">
        <v>76</v>
      </c>
      <c r="H105" s="6" t="s">
        <v>135</v>
      </c>
      <c r="I105" s="8" t="s">
        <v>247</v>
      </c>
      <c r="J105" s="9">
        <v>1</v>
      </c>
      <c r="K105" s="9">
        <v>228</v>
      </c>
      <c r="L105" s="9">
        <v>2023</v>
      </c>
      <c r="M105" s="8" t="s">
        <v>825</v>
      </c>
      <c r="N105" s="8" t="s">
        <v>56</v>
      </c>
      <c r="O105" s="8" t="s">
        <v>286</v>
      </c>
      <c r="P105" s="6" t="s">
        <v>58</v>
      </c>
      <c r="Q105" s="8" t="s">
        <v>88</v>
      </c>
      <c r="R105" s="10" t="s">
        <v>826</v>
      </c>
      <c r="S105" s="11"/>
      <c r="T105" s="6"/>
      <c r="U105" s="27" t="str">
        <f>HYPERLINK("https://media.infra-m.ru/2029/2029904/cover/2029904.jpg", "Обложка")</f>
        <v>Обложка</v>
      </c>
      <c r="V105" s="27" t="str">
        <f>HYPERLINK("https://znanium.ru/catalog/product/1062389", "Ознакомиться")</f>
        <v>Ознакомиться</v>
      </c>
      <c r="W105" s="8"/>
      <c r="X105" s="6"/>
      <c r="Y105" s="6" t="s">
        <v>30</v>
      </c>
      <c r="Z105" s="6"/>
      <c r="AA105" s="6"/>
      <c r="AB105" s="6" t="s">
        <v>798</v>
      </c>
    </row>
    <row r="106" spans="1:28" s="4" customFormat="1" ht="51.95" customHeight="1">
      <c r="A106" s="5">
        <v>0</v>
      </c>
      <c r="B106" s="6" t="s">
        <v>827</v>
      </c>
      <c r="C106" s="13">
        <v>880</v>
      </c>
      <c r="D106" s="8" t="s">
        <v>828</v>
      </c>
      <c r="E106" s="8" t="s">
        <v>829</v>
      </c>
      <c r="F106" s="8" t="s">
        <v>591</v>
      </c>
      <c r="G106" s="6" t="s">
        <v>38</v>
      </c>
      <c r="H106" s="6" t="s">
        <v>54</v>
      </c>
      <c r="I106" s="8" t="s">
        <v>40</v>
      </c>
      <c r="J106" s="9">
        <v>1</v>
      </c>
      <c r="K106" s="9">
        <v>183</v>
      </c>
      <c r="L106" s="9">
        <v>2024</v>
      </c>
      <c r="M106" s="8" t="s">
        <v>830</v>
      </c>
      <c r="N106" s="8" t="s">
        <v>56</v>
      </c>
      <c r="O106" s="8" t="s">
        <v>593</v>
      </c>
      <c r="P106" s="6" t="s">
        <v>44</v>
      </c>
      <c r="Q106" s="8" t="s">
        <v>45</v>
      </c>
      <c r="R106" s="10" t="s">
        <v>831</v>
      </c>
      <c r="S106" s="11" t="s">
        <v>832</v>
      </c>
      <c r="T106" s="6"/>
      <c r="U106" s="27" t="str">
        <f>HYPERLINK("https://media.infra-m.ru/2132/2132240/cover/2132240.jpg", "Обложка")</f>
        <v>Обложка</v>
      </c>
      <c r="V106" s="27" t="str">
        <f>HYPERLINK("https://znanium.ru/catalog/product/2132240", "Ознакомиться")</f>
        <v>Ознакомиться</v>
      </c>
      <c r="W106" s="8" t="s">
        <v>61</v>
      </c>
      <c r="X106" s="6"/>
      <c r="Y106" s="6" t="s">
        <v>30</v>
      </c>
      <c r="Z106" s="6"/>
      <c r="AA106" s="6"/>
      <c r="AB106" s="6" t="s">
        <v>833</v>
      </c>
    </row>
    <row r="107" spans="1:28" s="4" customFormat="1" ht="51.95" customHeight="1">
      <c r="A107" s="5">
        <v>0</v>
      </c>
      <c r="B107" s="6" t="s">
        <v>834</v>
      </c>
      <c r="C107" s="7">
        <v>1274.9000000000001</v>
      </c>
      <c r="D107" s="8" t="s">
        <v>835</v>
      </c>
      <c r="E107" s="8" t="s">
        <v>836</v>
      </c>
      <c r="F107" s="8" t="s">
        <v>837</v>
      </c>
      <c r="G107" s="6" t="s">
        <v>38</v>
      </c>
      <c r="H107" s="6" t="s">
        <v>54</v>
      </c>
      <c r="I107" s="8" t="s">
        <v>40</v>
      </c>
      <c r="J107" s="9">
        <v>1</v>
      </c>
      <c r="K107" s="9">
        <v>284</v>
      </c>
      <c r="L107" s="9">
        <v>2023</v>
      </c>
      <c r="M107" s="8" t="s">
        <v>838</v>
      </c>
      <c r="N107" s="8" t="s">
        <v>137</v>
      </c>
      <c r="O107" s="8" t="s">
        <v>521</v>
      </c>
      <c r="P107" s="6" t="s">
        <v>58</v>
      </c>
      <c r="Q107" s="8" t="s">
        <v>45</v>
      </c>
      <c r="R107" s="10" t="s">
        <v>839</v>
      </c>
      <c r="S107" s="11" t="s">
        <v>840</v>
      </c>
      <c r="T107" s="6"/>
      <c r="U107" s="27" t="str">
        <f>HYPERLINK("https://media.infra-m.ru/1965/1965756/cover/1965756.jpg", "Обложка")</f>
        <v>Обложка</v>
      </c>
      <c r="V107" s="27" t="str">
        <f>HYPERLINK("https://znanium.ru/catalog/product/1141790", "Ознакомиться")</f>
        <v>Ознакомиться</v>
      </c>
      <c r="W107" s="8" t="s">
        <v>841</v>
      </c>
      <c r="X107" s="6"/>
      <c r="Y107" s="6" t="s">
        <v>30</v>
      </c>
      <c r="Z107" s="6"/>
      <c r="AA107" s="6" t="s">
        <v>71</v>
      </c>
      <c r="AB107" s="6" t="s">
        <v>130</v>
      </c>
    </row>
    <row r="108" spans="1:28" s="4" customFormat="1" ht="51.95" customHeight="1">
      <c r="A108" s="5">
        <v>0</v>
      </c>
      <c r="B108" s="6" t="s">
        <v>842</v>
      </c>
      <c r="C108" s="13">
        <v>970</v>
      </c>
      <c r="D108" s="8" t="s">
        <v>843</v>
      </c>
      <c r="E108" s="8" t="s">
        <v>844</v>
      </c>
      <c r="F108" s="8" t="s">
        <v>845</v>
      </c>
      <c r="G108" s="6" t="s">
        <v>38</v>
      </c>
      <c r="H108" s="6" t="s">
        <v>54</v>
      </c>
      <c r="I108" s="8" t="s">
        <v>40</v>
      </c>
      <c r="J108" s="9">
        <v>1</v>
      </c>
      <c r="K108" s="9">
        <v>209</v>
      </c>
      <c r="L108" s="9">
        <v>2024</v>
      </c>
      <c r="M108" s="8" t="s">
        <v>846</v>
      </c>
      <c r="N108" s="8" t="s">
        <v>56</v>
      </c>
      <c r="O108" s="8" t="s">
        <v>231</v>
      </c>
      <c r="P108" s="6" t="s">
        <v>58</v>
      </c>
      <c r="Q108" s="8" t="s">
        <v>45</v>
      </c>
      <c r="R108" s="10" t="s">
        <v>847</v>
      </c>
      <c r="S108" s="11" t="s">
        <v>848</v>
      </c>
      <c r="T108" s="6"/>
      <c r="U108" s="27" t="str">
        <f>HYPERLINK("https://media.infra-m.ru/2103/2103177/cover/2103177.jpg", "Обложка")</f>
        <v>Обложка</v>
      </c>
      <c r="V108" s="27" t="str">
        <f>HYPERLINK("https://znanium.ru/catalog/product/2103177", "Ознакомиться")</f>
        <v>Ознакомиться</v>
      </c>
      <c r="W108" s="8" t="s">
        <v>849</v>
      </c>
      <c r="X108" s="6"/>
      <c r="Y108" s="6" t="s">
        <v>30</v>
      </c>
      <c r="Z108" s="6"/>
      <c r="AA108" s="6"/>
      <c r="AB108" s="6" t="s">
        <v>656</v>
      </c>
    </row>
    <row r="109" spans="1:28" s="4" customFormat="1" ht="51.95" customHeight="1">
      <c r="A109" s="5">
        <v>0</v>
      </c>
      <c r="B109" s="6" t="s">
        <v>850</v>
      </c>
      <c r="C109" s="7">
        <v>1330</v>
      </c>
      <c r="D109" s="8" t="s">
        <v>851</v>
      </c>
      <c r="E109" s="8" t="s">
        <v>852</v>
      </c>
      <c r="F109" s="8" t="s">
        <v>853</v>
      </c>
      <c r="G109" s="6" t="s">
        <v>38</v>
      </c>
      <c r="H109" s="6" t="s">
        <v>719</v>
      </c>
      <c r="I109" s="8"/>
      <c r="J109" s="9">
        <v>1</v>
      </c>
      <c r="K109" s="9">
        <v>288</v>
      </c>
      <c r="L109" s="9">
        <v>2024</v>
      </c>
      <c r="M109" s="8" t="s">
        <v>854</v>
      </c>
      <c r="N109" s="8" t="s">
        <v>137</v>
      </c>
      <c r="O109" s="8" t="s">
        <v>521</v>
      </c>
      <c r="P109" s="6" t="s">
        <v>44</v>
      </c>
      <c r="Q109" s="8" t="s">
        <v>45</v>
      </c>
      <c r="R109" s="10" t="s">
        <v>855</v>
      </c>
      <c r="S109" s="11" t="s">
        <v>856</v>
      </c>
      <c r="T109" s="6"/>
      <c r="U109" s="27" t="str">
        <f>HYPERLINK("https://media.infra-m.ru/2125/2125913/cover/2125913.jpg", "Обложка")</f>
        <v>Обложка</v>
      </c>
      <c r="V109" s="27" t="str">
        <f>HYPERLINK("https://znanium.ru/catalog/product/2125913", "Ознакомиться")</f>
        <v>Ознакомиться</v>
      </c>
      <c r="W109" s="8" t="s">
        <v>149</v>
      </c>
      <c r="X109" s="6"/>
      <c r="Y109" s="6" t="s">
        <v>30</v>
      </c>
      <c r="Z109" s="6"/>
      <c r="AA109" s="6"/>
      <c r="AB109" s="6" t="s">
        <v>320</v>
      </c>
    </row>
    <row r="110" spans="1:28" s="4" customFormat="1" ht="51.95" customHeight="1">
      <c r="A110" s="5">
        <v>0</v>
      </c>
      <c r="B110" s="6" t="s">
        <v>857</v>
      </c>
      <c r="C110" s="7">
        <v>2950</v>
      </c>
      <c r="D110" s="8" t="s">
        <v>858</v>
      </c>
      <c r="E110" s="8" t="s">
        <v>859</v>
      </c>
      <c r="F110" s="8" t="s">
        <v>860</v>
      </c>
      <c r="G110" s="6" t="s">
        <v>173</v>
      </c>
      <c r="H110" s="6" t="s">
        <v>719</v>
      </c>
      <c r="I110" s="8"/>
      <c r="J110" s="9">
        <v>1</v>
      </c>
      <c r="K110" s="9">
        <v>656</v>
      </c>
      <c r="L110" s="9">
        <v>2023</v>
      </c>
      <c r="M110" s="8" t="s">
        <v>861</v>
      </c>
      <c r="N110" s="8" t="s">
        <v>137</v>
      </c>
      <c r="O110" s="8" t="s">
        <v>521</v>
      </c>
      <c r="P110" s="6" t="s">
        <v>44</v>
      </c>
      <c r="Q110" s="8" t="s">
        <v>79</v>
      </c>
      <c r="R110" s="10" t="s">
        <v>862</v>
      </c>
      <c r="S110" s="11" t="s">
        <v>863</v>
      </c>
      <c r="T110" s="6"/>
      <c r="U110" s="27" t="str">
        <f>HYPERLINK("https://media.infra-m.ru/1893/1893500/cover/1893500.jpg", "Обложка")</f>
        <v>Обложка</v>
      </c>
      <c r="V110" s="27" t="str">
        <f>HYPERLINK("https://znanium.ru/catalog/product/2139996", "Ознакомиться")</f>
        <v>Ознакомиться</v>
      </c>
      <c r="W110" s="8" t="s">
        <v>149</v>
      </c>
      <c r="X110" s="6"/>
      <c r="Y110" s="6" t="s">
        <v>30</v>
      </c>
      <c r="Z110" s="6"/>
      <c r="AA110" s="6"/>
      <c r="AB110" s="6" t="s">
        <v>864</v>
      </c>
    </row>
    <row r="111" spans="1:28" s="4" customFormat="1" ht="51.95" customHeight="1">
      <c r="A111" s="5">
        <v>0</v>
      </c>
      <c r="B111" s="6" t="s">
        <v>865</v>
      </c>
      <c r="C111" s="7">
        <v>3150</v>
      </c>
      <c r="D111" s="8" t="s">
        <v>866</v>
      </c>
      <c r="E111" s="8" t="s">
        <v>867</v>
      </c>
      <c r="F111" s="8" t="s">
        <v>860</v>
      </c>
      <c r="G111" s="6" t="s">
        <v>173</v>
      </c>
      <c r="H111" s="6" t="s">
        <v>719</v>
      </c>
      <c r="I111" s="8"/>
      <c r="J111" s="9">
        <v>1</v>
      </c>
      <c r="K111" s="9">
        <v>672</v>
      </c>
      <c r="L111" s="9">
        <v>2024</v>
      </c>
      <c r="M111" s="8" t="s">
        <v>868</v>
      </c>
      <c r="N111" s="8" t="s">
        <v>137</v>
      </c>
      <c r="O111" s="8" t="s">
        <v>521</v>
      </c>
      <c r="P111" s="6" t="s">
        <v>44</v>
      </c>
      <c r="Q111" s="8" t="s">
        <v>79</v>
      </c>
      <c r="R111" s="10" t="s">
        <v>862</v>
      </c>
      <c r="S111" s="11" t="s">
        <v>863</v>
      </c>
      <c r="T111" s="6"/>
      <c r="U111" s="27" t="str">
        <f>HYPERLINK("https://media.infra-m.ru/2139/2139996/cover/2139996.jpg", "Обложка")</f>
        <v>Обложка</v>
      </c>
      <c r="V111" s="27" t="str">
        <f>HYPERLINK("https://znanium.ru/catalog/product/2139996", "Ознакомиться")</f>
        <v>Ознакомиться</v>
      </c>
      <c r="W111" s="8" t="s">
        <v>149</v>
      </c>
      <c r="X111" s="6"/>
      <c r="Y111" s="6" t="s">
        <v>30</v>
      </c>
      <c r="Z111" s="6"/>
      <c r="AA111" s="6"/>
      <c r="AB111" s="6" t="s">
        <v>869</v>
      </c>
    </row>
    <row r="112" spans="1:28" s="4" customFormat="1" ht="51.95" customHeight="1">
      <c r="A112" s="5">
        <v>0</v>
      </c>
      <c r="B112" s="6" t="s">
        <v>870</v>
      </c>
      <c r="C112" s="7">
        <v>1394</v>
      </c>
      <c r="D112" s="8" t="s">
        <v>871</v>
      </c>
      <c r="E112" s="8" t="s">
        <v>872</v>
      </c>
      <c r="F112" s="8" t="s">
        <v>873</v>
      </c>
      <c r="G112" s="6" t="s">
        <v>173</v>
      </c>
      <c r="H112" s="6" t="s">
        <v>113</v>
      </c>
      <c r="I112" s="8" t="s">
        <v>88</v>
      </c>
      <c r="J112" s="9">
        <v>1</v>
      </c>
      <c r="K112" s="9">
        <v>304</v>
      </c>
      <c r="L112" s="9">
        <v>2024</v>
      </c>
      <c r="M112" s="8" t="s">
        <v>874</v>
      </c>
      <c r="N112" s="8" t="s">
        <v>137</v>
      </c>
      <c r="O112" s="8" t="s">
        <v>521</v>
      </c>
      <c r="P112" s="6" t="s">
        <v>58</v>
      </c>
      <c r="Q112" s="8" t="s">
        <v>45</v>
      </c>
      <c r="R112" s="10" t="s">
        <v>875</v>
      </c>
      <c r="S112" s="11" t="s">
        <v>176</v>
      </c>
      <c r="T112" s="6"/>
      <c r="U112" s="27" t="str">
        <f>HYPERLINK("https://media.infra-m.ru/2104/2104828/cover/2104828.jpg", "Обложка")</f>
        <v>Обложка</v>
      </c>
      <c r="V112" s="27" t="str">
        <f>HYPERLINK("https://znanium.ru/catalog/product/1141806", "Ознакомиться")</f>
        <v>Ознакомиться</v>
      </c>
      <c r="W112" s="8" t="s">
        <v>747</v>
      </c>
      <c r="X112" s="6"/>
      <c r="Y112" s="6" t="s">
        <v>30</v>
      </c>
      <c r="Z112" s="6"/>
      <c r="AA112" s="6"/>
      <c r="AB112" s="6" t="s">
        <v>876</v>
      </c>
    </row>
    <row r="113" spans="1:28" s="4" customFormat="1" ht="51.95" customHeight="1">
      <c r="A113" s="5">
        <v>0</v>
      </c>
      <c r="B113" s="6" t="s">
        <v>877</v>
      </c>
      <c r="C113" s="7">
        <v>1500</v>
      </c>
      <c r="D113" s="8" t="s">
        <v>878</v>
      </c>
      <c r="E113" s="8" t="s">
        <v>879</v>
      </c>
      <c r="F113" s="8" t="s">
        <v>880</v>
      </c>
      <c r="G113" s="6" t="s">
        <v>38</v>
      </c>
      <c r="H113" s="6" t="s">
        <v>113</v>
      </c>
      <c r="I113" s="8" t="s">
        <v>114</v>
      </c>
      <c r="J113" s="9">
        <v>1</v>
      </c>
      <c r="K113" s="9">
        <v>320</v>
      </c>
      <c r="L113" s="9">
        <v>2024</v>
      </c>
      <c r="M113" s="8" t="s">
        <v>881</v>
      </c>
      <c r="N113" s="8" t="s">
        <v>56</v>
      </c>
      <c r="O113" s="8" t="s">
        <v>57</v>
      </c>
      <c r="P113" s="6" t="s">
        <v>44</v>
      </c>
      <c r="Q113" s="8" t="s">
        <v>45</v>
      </c>
      <c r="R113" s="10" t="s">
        <v>882</v>
      </c>
      <c r="S113" s="11" t="s">
        <v>883</v>
      </c>
      <c r="T113" s="6"/>
      <c r="U113" s="27" t="str">
        <f>HYPERLINK("https://media.infra-m.ru/2082/2082857/cover/2082857.jpg", "Обложка")</f>
        <v>Обложка</v>
      </c>
      <c r="V113" s="27" t="str">
        <f>HYPERLINK("https://znanium.ru/catalog/product/2082857", "Ознакомиться")</f>
        <v>Ознакомиться</v>
      </c>
      <c r="W113" s="8" t="s">
        <v>91</v>
      </c>
      <c r="X113" s="6"/>
      <c r="Y113" s="6" t="s">
        <v>30</v>
      </c>
      <c r="Z113" s="6"/>
      <c r="AA113" s="6"/>
      <c r="AB113" s="6" t="s">
        <v>62</v>
      </c>
    </row>
    <row r="114" spans="1:28" s="4" customFormat="1" ht="51.95" customHeight="1">
      <c r="A114" s="5">
        <v>0</v>
      </c>
      <c r="B114" s="6" t="s">
        <v>884</v>
      </c>
      <c r="C114" s="7">
        <v>1850</v>
      </c>
      <c r="D114" s="8" t="s">
        <v>885</v>
      </c>
      <c r="E114" s="8" t="s">
        <v>886</v>
      </c>
      <c r="F114" s="8" t="s">
        <v>887</v>
      </c>
      <c r="G114" s="6" t="s">
        <v>38</v>
      </c>
      <c r="H114" s="6" t="s">
        <v>54</v>
      </c>
      <c r="I114" s="8" t="s">
        <v>247</v>
      </c>
      <c r="J114" s="9">
        <v>1</v>
      </c>
      <c r="K114" s="9">
        <v>399</v>
      </c>
      <c r="L114" s="9">
        <v>2023</v>
      </c>
      <c r="M114" s="8" t="s">
        <v>888</v>
      </c>
      <c r="N114" s="8" t="s">
        <v>264</v>
      </c>
      <c r="O114" s="8" t="s">
        <v>371</v>
      </c>
      <c r="P114" s="6" t="s">
        <v>58</v>
      </c>
      <c r="Q114" s="8" t="s">
        <v>88</v>
      </c>
      <c r="R114" s="10" t="s">
        <v>889</v>
      </c>
      <c r="S114" s="11" t="s">
        <v>890</v>
      </c>
      <c r="T114" s="6"/>
      <c r="U114" s="27" t="str">
        <f>HYPERLINK("https://media.infra-m.ru/2023/2023162/cover/2023162.jpg", "Обложка")</f>
        <v>Обложка</v>
      </c>
      <c r="V114" s="27" t="str">
        <f>HYPERLINK("https://znanium.ru/catalog/product/2023162", "Ознакомиться")</f>
        <v>Ознакомиться</v>
      </c>
      <c r="W114" s="8" t="s">
        <v>891</v>
      </c>
      <c r="X114" s="6"/>
      <c r="Y114" s="6" t="s">
        <v>30</v>
      </c>
      <c r="Z114" s="6"/>
      <c r="AA114" s="6"/>
      <c r="AB114" s="6" t="s">
        <v>350</v>
      </c>
    </row>
    <row r="115" spans="1:28" s="4" customFormat="1" ht="51.95" customHeight="1">
      <c r="A115" s="5">
        <v>0</v>
      </c>
      <c r="B115" s="6" t="s">
        <v>892</v>
      </c>
      <c r="C115" s="13">
        <v>960</v>
      </c>
      <c r="D115" s="8" t="s">
        <v>893</v>
      </c>
      <c r="E115" s="8" t="s">
        <v>894</v>
      </c>
      <c r="F115" s="8" t="s">
        <v>895</v>
      </c>
      <c r="G115" s="6" t="s">
        <v>76</v>
      </c>
      <c r="H115" s="6" t="s">
        <v>54</v>
      </c>
      <c r="I115" s="8"/>
      <c r="J115" s="9">
        <v>1</v>
      </c>
      <c r="K115" s="9">
        <v>208</v>
      </c>
      <c r="L115" s="9">
        <v>2024</v>
      </c>
      <c r="M115" s="8" t="s">
        <v>896</v>
      </c>
      <c r="N115" s="8" t="s">
        <v>137</v>
      </c>
      <c r="O115" s="8" t="s">
        <v>138</v>
      </c>
      <c r="P115" s="6" t="s">
        <v>897</v>
      </c>
      <c r="Q115" s="8" t="s">
        <v>898</v>
      </c>
      <c r="R115" s="10" t="s">
        <v>899</v>
      </c>
      <c r="S115" s="11" t="s">
        <v>900</v>
      </c>
      <c r="T115" s="6"/>
      <c r="U115" s="27" t="str">
        <f>HYPERLINK("https://media.infra-m.ru/2089/2089372/cover/2089372.jpg", "Обложка")</f>
        <v>Обложка</v>
      </c>
      <c r="V115" s="27" t="str">
        <f>HYPERLINK("https://znanium.ru/catalog/product/2089372", "Ознакомиться")</f>
        <v>Ознакомиться</v>
      </c>
      <c r="W115" s="8" t="s">
        <v>149</v>
      </c>
      <c r="X115" s="6"/>
      <c r="Y115" s="6" t="s">
        <v>30</v>
      </c>
      <c r="Z115" s="6"/>
      <c r="AA115" s="6"/>
      <c r="AB115" s="6" t="s">
        <v>901</v>
      </c>
    </row>
    <row r="116" spans="1:28" s="4" customFormat="1" ht="51.95" customHeight="1">
      <c r="A116" s="5">
        <v>0</v>
      </c>
      <c r="B116" s="6" t="s">
        <v>902</v>
      </c>
      <c r="C116" s="7">
        <v>1470</v>
      </c>
      <c r="D116" s="8" t="s">
        <v>903</v>
      </c>
      <c r="E116" s="8" t="s">
        <v>904</v>
      </c>
      <c r="F116" s="8" t="s">
        <v>905</v>
      </c>
      <c r="G116" s="6" t="s">
        <v>38</v>
      </c>
      <c r="H116" s="6" t="s">
        <v>229</v>
      </c>
      <c r="I116" s="8"/>
      <c r="J116" s="9">
        <v>1</v>
      </c>
      <c r="K116" s="9">
        <v>312</v>
      </c>
      <c r="L116" s="9">
        <v>2024</v>
      </c>
      <c r="M116" s="8" t="s">
        <v>906</v>
      </c>
      <c r="N116" s="8" t="s">
        <v>56</v>
      </c>
      <c r="O116" s="8" t="s">
        <v>286</v>
      </c>
      <c r="P116" s="6" t="s">
        <v>44</v>
      </c>
      <c r="Q116" s="8" t="s">
        <v>45</v>
      </c>
      <c r="R116" s="10" t="s">
        <v>907</v>
      </c>
      <c r="S116" s="11"/>
      <c r="T116" s="6"/>
      <c r="U116" s="27" t="str">
        <f>HYPERLINK("https://media.infra-m.ru/2088/2088754/cover/2088754.jpg", "Обложка")</f>
        <v>Обложка</v>
      </c>
      <c r="V116" s="27" t="str">
        <f>HYPERLINK("https://znanium.ru/catalog/product/2088754", "Ознакомиться")</f>
        <v>Ознакомиться</v>
      </c>
      <c r="W116" s="8" t="s">
        <v>267</v>
      </c>
      <c r="X116" s="6"/>
      <c r="Y116" s="6" t="s">
        <v>30</v>
      </c>
      <c r="Z116" s="6"/>
      <c r="AA116" s="6"/>
      <c r="AB116" s="6" t="s">
        <v>215</v>
      </c>
    </row>
    <row r="117" spans="1:28" s="4" customFormat="1" ht="51.95" customHeight="1">
      <c r="A117" s="5">
        <v>0</v>
      </c>
      <c r="B117" s="6" t="s">
        <v>908</v>
      </c>
      <c r="C117" s="7">
        <v>1770</v>
      </c>
      <c r="D117" s="8" t="s">
        <v>909</v>
      </c>
      <c r="E117" s="8" t="s">
        <v>910</v>
      </c>
      <c r="F117" s="8" t="s">
        <v>180</v>
      </c>
      <c r="G117" s="6" t="s">
        <v>38</v>
      </c>
      <c r="H117" s="6" t="s">
        <v>54</v>
      </c>
      <c r="I117" s="8" t="s">
        <v>40</v>
      </c>
      <c r="J117" s="9">
        <v>1</v>
      </c>
      <c r="K117" s="9">
        <v>363</v>
      </c>
      <c r="L117" s="9">
        <v>2023</v>
      </c>
      <c r="M117" s="8" t="s">
        <v>911</v>
      </c>
      <c r="N117" s="8" t="s">
        <v>56</v>
      </c>
      <c r="O117" s="8" t="s">
        <v>286</v>
      </c>
      <c r="P117" s="6" t="s">
        <v>44</v>
      </c>
      <c r="Q117" s="8" t="s">
        <v>45</v>
      </c>
      <c r="R117" s="10" t="s">
        <v>912</v>
      </c>
      <c r="S117" s="11" t="s">
        <v>47</v>
      </c>
      <c r="T117" s="6"/>
      <c r="U117" s="27" t="str">
        <f>HYPERLINK("https://media.infra-m.ru/1239/1239425/cover/1239425.jpg", "Обложка")</f>
        <v>Обложка</v>
      </c>
      <c r="V117" s="27" t="str">
        <f>HYPERLINK("https://znanium.ru/catalog/product/2037420", "Ознакомиться")</f>
        <v>Ознакомиться</v>
      </c>
      <c r="W117" s="8" t="s">
        <v>159</v>
      </c>
      <c r="X117" s="6"/>
      <c r="Y117" s="6" t="s">
        <v>30</v>
      </c>
      <c r="Z117" s="6"/>
      <c r="AA117" s="6"/>
      <c r="AB117" s="6" t="s">
        <v>759</v>
      </c>
    </row>
    <row r="118" spans="1:28" s="4" customFormat="1" ht="51.95" customHeight="1">
      <c r="A118" s="5">
        <v>0</v>
      </c>
      <c r="B118" s="6" t="s">
        <v>913</v>
      </c>
      <c r="C118" s="7">
        <v>1870</v>
      </c>
      <c r="D118" s="8" t="s">
        <v>914</v>
      </c>
      <c r="E118" s="8" t="s">
        <v>915</v>
      </c>
      <c r="F118" s="8" t="s">
        <v>916</v>
      </c>
      <c r="G118" s="6" t="s">
        <v>173</v>
      </c>
      <c r="H118" s="6" t="s">
        <v>54</v>
      </c>
      <c r="I118" s="8"/>
      <c r="J118" s="9">
        <v>1</v>
      </c>
      <c r="K118" s="9">
        <v>415</v>
      </c>
      <c r="L118" s="9">
        <v>2022</v>
      </c>
      <c r="M118" s="8" t="s">
        <v>917</v>
      </c>
      <c r="N118" s="8" t="s">
        <v>56</v>
      </c>
      <c r="O118" s="8" t="s">
        <v>286</v>
      </c>
      <c r="P118" s="6" t="s">
        <v>44</v>
      </c>
      <c r="Q118" s="8" t="s">
        <v>45</v>
      </c>
      <c r="R118" s="10" t="s">
        <v>912</v>
      </c>
      <c r="S118" s="11" t="s">
        <v>47</v>
      </c>
      <c r="T118" s="6"/>
      <c r="U118" s="27" t="str">
        <f>HYPERLINK("https://media.infra-m.ru/2037/2037420/cover/2037420.jpg", "Обложка")</f>
        <v>Обложка</v>
      </c>
      <c r="V118" s="27" t="str">
        <f>HYPERLINK("https://znanium.ru/catalog/product/2037420", "Ознакомиться")</f>
        <v>Ознакомиться</v>
      </c>
      <c r="W118" s="8" t="s">
        <v>747</v>
      </c>
      <c r="X118" s="6"/>
      <c r="Y118" s="6" t="s">
        <v>30</v>
      </c>
      <c r="Z118" s="6"/>
      <c r="AA118" s="6"/>
      <c r="AB118" s="6" t="s">
        <v>571</v>
      </c>
    </row>
    <row r="119" spans="1:28" s="4" customFormat="1" ht="51.95" customHeight="1">
      <c r="A119" s="5">
        <v>0</v>
      </c>
      <c r="B119" s="6" t="s">
        <v>918</v>
      </c>
      <c r="C119" s="7">
        <v>1580</v>
      </c>
      <c r="D119" s="8" t="s">
        <v>919</v>
      </c>
      <c r="E119" s="8" t="s">
        <v>920</v>
      </c>
      <c r="F119" s="8" t="s">
        <v>921</v>
      </c>
      <c r="G119" s="6" t="s">
        <v>38</v>
      </c>
      <c r="H119" s="6" t="s">
        <v>54</v>
      </c>
      <c r="I119" s="8" t="s">
        <v>40</v>
      </c>
      <c r="J119" s="9">
        <v>1</v>
      </c>
      <c r="K119" s="9">
        <v>336</v>
      </c>
      <c r="L119" s="9">
        <v>2024</v>
      </c>
      <c r="M119" s="8" t="s">
        <v>922</v>
      </c>
      <c r="N119" s="8" t="s">
        <v>56</v>
      </c>
      <c r="O119" s="8" t="s">
        <v>231</v>
      </c>
      <c r="P119" s="6" t="s">
        <v>44</v>
      </c>
      <c r="Q119" s="8" t="s">
        <v>45</v>
      </c>
      <c r="R119" s="10" t="s">
        <v>923</v>
      </c>
      <c r="S119" s="11" t="s">
        <v>924</v>
      </c>
      <c r="T119" s="6" t="s">
        <v>348</v>
      </c>
      <c r="U119" s="27" t="str">
        <f>HYPERLINK("https://media.infra-m.ru/2094/2094377/cover/2094377.jpg", "Обложка")</f>
        <v>Обложка</v>
      </c>
      <c r="V119" s="27" t="str">
        <f>HYPERLINK("https://znanium.ru/catalog/product/2094377", "Ознакомиться")</f>
        <v>Ознакомиться</v>
      </c>
      <c r="W119" s="8" t="s">
        <v>714</v>
      </c>
      <c r="X119" s="6"/>
      <c r="Y119" s="6" t="s">
        <v>30</v>
      </c>
      <c r="Z119" s="6"/>
      <c r="AA119" s="6" t="s">
        <v>71</v>
      </c>
      <c r="AB119" s="6" t="s">
        <v>141</v>
      </c>
    </row>
    <row r="120" spans="1:28" s="4" customFormat="1" ht="51.95" customHeight="1">
      <c r="A120" s="5">
        <v>0</v>
      </c>
      <c r="B120" s="6" t="s">
        <v>925</v>
      </c>
      <c r="C120" s="7">
        <v>1040</v>
      </c>
      <c r="D120" s="8" t="s">
        <v>926</v>
      </c>
      <c r="E120" s="8" t="s">
        <v>927</v>
      </c>
      <c r="F120" s="8" t="s">
        <v>928</v>
      </c>
      <c r="G120" s="6" t="s">
        <v>38</v>
      </c>
      <c r="H120" s="6" t="s">
        <v>54</v>
      </c>
      <c r="I120" s="8" t="s">
        <v>40</v>
      </c>
      <c r="J120" s="9">
        <v>1</v>
      </c>
      <c r="K120" s="9">
        <v>224</v>
      </c>
      <c r="L120" s="9">
        <v>2024</v>
      </c>
      <c r="M120" s="8" t="s">
        <v>929</v>
      </c>
      <c r="N120" s="8" t="s">
        <v>56</v>
      </c>
      <c r="O120" s="8" t="s">
        <v>593</v>
      </c>
      <c r="P120" s="6" t="s">
        <v>58</v>
      </c>
      <c r="Q120" s="8" t="s">
        <v>45</v>
      </c>
      <c r="R120" s="10" t="s">
        <v>930</v>
      </c>
      <c r="S120" s="11" t="s">
        <v>931</v>
      </c>
      <c r="T120" s="6"/>
      <c r="U120" s="27" t="str">
        <f>HYPERLINK("https://media.infra-m.ru/2111/2111909/cover/2111909.jpg", "Обложка")</f>
        <v>Обложка</v>
      </c>
      <c r="V120" s="27" t="str">
        <f>HYPERLINK("https://znanium.ru/catalog/product/2111909", "Ознакомиться")</f>
        <v>Ознакомиться</v>
      </c>
      <c r="W120" s="8" t="s">
        <v>91</v>
      </c>
      <c r="X120" s="6"/>
      <c r="Y120" s="6" t="s">
        <v>30</v>
      </c>
      <c r="Z120" s="6"/>
      <c r="AA120" s="6"/>
      <c r="AB120" s="6" t="s">
        <v>670</v>
      </c>
    </row>
    <row r="121" spans="1:28" s="4" customFormat="1" ht="51.95" customHeight="1">
      <c r="A121" s="5">
        <v>0</v>
      </c>
      <c r="B121" s="6" t="s">
        <v>932</v>
      </c>
      <c r="C121" s="7">
        <v>1254</v>
      </c>
      <c r="D121" s="8" t="s">
        <v>933</v>
      </c>
      <c r="E121" s="8" t="s">
        <v>934</v>
      </c>
      <c r="F121" s="8" t="s">
        <v>935</v>
      </c>
      <c r="G121" s="6" t="s">
        <v>38</v>
      </c>
      <c r="H121" s="6" t="s">
        <v>54</v>
      </c>
      <c r="I121" s="8" t="s">
        <v>40</v>
      </c>
      <c r="J121" s="9">
        <v>1</v>
      </c>
      <c r="K121" s="9">
        <v>271</v>
      </c>
      <c r="L121" s="9">
        <v>2024</v>
      </c>
      <c r="M121" s="8" t="s">
        <v>936</v>
      </c>
      <c r="N121" s="8" t="s">
        <v>56</v>
      </c>
      <c r="O121" s="8" t="s">
        <v>57</v>
      </c>
      <c r="P121" s="6" t="s">
        <v>58</v>
      </c>
      <c r="Q121" s="8" t="s">
        <v>45</v>
      </c>
      <c r="R121" s="10" t="s">
        <v>937</v>
      </c>
      <c r="S121" s="11" t="s">
        <v>938</v>
      </c>
      <c r="T121" s="6"/>
      <c r="U121" s="27" t="str">
        <f>HYPERLINK("https://media.infra-m.ru/2131/2131844/cover/2131844.jpg", "Обложка")</f>
        <v>Обложка</v>
      </c>
      <c r="V121" s="27" t="str">
        <f>HYPERLINK("https://znanium.ru/catalog/product/2103198", "Ознакомиться")</f>
        <v>Ознакомиться</v>
      </c>
      <c r="W121" s="8" t="s">
        <v>939</v>
      </c>
      <c r="X121" s="6"/>
      <c r="Y121" s="6" t="s">
        <v>30</v>
      </c>
      <c r="Z121" s="6"/>
      <c r="AA121" s="6" t="s">
        <v>71</v>
      </c>
      <c r="AB121" s="6" t="s">
        <v>208</v>
      </c>
    </row>
    <row r="122" spans="1:28" s="4" customFormat="1" ht="51.95" customHeight="1">
      <c r="A122" s="5">
        <v>0</v>
      </c>
      <c r="B122" s="6" t="s">
        <v>940</v>
      </c>
      <c r="C122" s="7">
        <v>1090</v>
      </c>
      <c r="D122" s="8" t="s">
        <v>941</v>
      </c>
      <c r="E122" s="8" t="s">
        <v>942</v>
      </c>
      <c r="F122" s="8" t="s">
        <v>943</v>
      </c>
      <c r="G122" s="6" t="s">
        <v>38</v>
      </c>
      <c r="H122" s="6" t="s">
        <v>54</v>
      </c>
      <c r="I122" s="8" t="s">
        <v>40</v>
      </c>
      <c r="J122" s="9">
        <v>1</v>
      </c>
      <c r="K122" s="9">
        <v>235</v>
      </c>
      <c r="L122" s="9">
        <v>2024</v>
      </c>
      <c r="M122" s="8" t="s">
        <v>944</v>
      </c>
      <c r="N122" s="8" t="s">
        <v>137</v>
      </c>
      <c r="O122" s="8" t="s">
        <v>138</v>
      </c>
      <c r="P122" s="6" t="s">
        <v>44</v>
      </c>
      <c r="Q122" s="8" t="s">
        <v>45</v>
      </c>
      <c r="R122" s="10" t="s">
        <v>945</v>
      </c>
      <c r="S122" s="11" t="s">
        <v>946</v>
      </c>
      <c r="T122" s="6"/>
      <c r="U122" s="27" t="str">
        <f>HYPERLINK("https://media.infra-m.ru/1981/1981652/cover/1981652.jpg", "Обложка")</f>
        <v>Обложка</v>
      </c>
      <c r="V122" s="27" t="str">
        <f>HYPERLINK("https://znanium.ru/catalog/product/1981652", "Ознакомиться")</f>
        <v>Ознакомиться</v>
      </c>
      <c r="W122" s="8" t="s">
        <v>947</v>
      </c>
      <c r="X122" s="6"/>
      <c r="Y122" s="6" t="s">
        <v>30</v>
      </c>
      <c r="Z122" s="6"/>
      <c r="AA122" s="6" t="s">
        <v>948</v>
      </c>
      <c r="AB122" s="6" t="s">
        <v>108</v>
      </c>
    </row>
    <row r="123" spans="1:28" s="4" customFormat="1" ht="51.95" customHeight="1">
      <c r="A123" s="5">
        <v>0</v>
      </c>
      <c r="B123" s="6" t="s">
        <v>949</v>
      </c>
      <c r="C123" s="7">
        <v>1040</v>
      </c>
      <c r="D123" s="8" t="s">
        <v>950</v>
      </c>
      <c r="E123" s="8" t="s">
        <v>951</v>
      </c>
      <c r="F123" s="8" t="s">
        <v>952</v>
      </c>
      <c r="G123" s="6" t="s">
        <v>38</v>
      </c>
      <c r="H123" s="6" t="s">
        <v>135</v>
      </c>
      <c r="I123" s="8" t="s">
        <v>114</v>
      </c>
      <c r="J123" s="9">
        <v>1</v>
      </c>
      <c r="K123" s="9">
        <v>224</v>
      </c>
      <c r="L123" s="9">
        <v>2023</v>
      </c>
      <c r="M123" s="8" t="s">
        <v>953</v>
      </c>
      <c r="N123" s="8" t="s">
        <v>137</v>
      </c>
      <c r="O123" s="8" t="s">
        <v>754</v>
      </c>
      <c r="P123" s="6" t="s">
        <v>44</v>
      </c>
      <c r="Q123" s="8" t="s">
        <v>45</v>
      </c>
      <c r="R123" s="10" t="s">
        <v>954</v>
      </c>
      <c r="S123" s="11" t="s">
        <v>955</v>
      </c>
      <c r="T123" s="6"/>
      <c r="U123" s="27" t="str">
        <f>HYPERLINK("https://media.infra-m.ru/2124/2124998/cover/2124998.jpg", "Обложка")</f>
        <v>Обложка</v>
      </c>
      <c r="V123" s="27" t="str">
        <f>HYPERLINK("https://znanium.ru/catalog/product/2118072", "Ознакомиться")</f>
        <v>Ознакомиться</v>
      </c>
      <c r="W123" s="8" t="s">
        <v>956</v>
      </c>
      <c r="X123" s="6"/>
      <c r="Y123" s="6" t="s">
        <v>30</v>
      </c>
      <c r="Z123" s="6"/>
      <c r="AA123" s="6"/>
      <c r="AB123" s="6" t="s">
        <v>678</v>
      </c>
    </row>
    <row r="124" spans="1:28" s="4" customFormat="1" ht="51.95" customHeight="1">
      <c r="A124" s="5">
        <v>0</v>
      </c>
      <c r="B124" s="6" t="s">
        <v>957</v>
      </c>
      <c r="C124" s="13">
        <v>944.9</v>
      </c>
      <c r="D124" s="8" t="s">
        <v>958</v>
      </c>
      <c r="E124" s="8" t="s">
        <v>959</v>
      </c>
      <c r="F124" s="8" t="s">
        <v>952</v>
      </c>
      <c r="G124" s="6" t="s">
        <v>173</v>
      </c>
      <c r="H124" s="6" t="s">
        <v>135</v>
      </c>
      <c r="I124" s="8" t="s">
        <v>114</v>
      </c>
      <c r="J124" s="9">
        <v>1</v>
      </c>
      <c r="K124" s="9">
        <v>325</v>
      </c>
      <c r="L124" s="9">
        <v>2018</v>
      </c>
      <c r="M124" s="8" t="s">
        <v>960</v>
      </c>
      <c r="N124" s="8" t="s">
        <v>137</v>
      </c>
      <c r="O124" s="8" t="s">
        <v>754</v>
      </c>
      <c r="P124" s="6" t="s">
        <v>44</v>
      </c>
      <c r="Q124" s="8" t="s">
        <v>45</v>
      </c>
      <c r="R124" s="10" t="s">
        <v>954</v>
      </c>
      <c r="S124" s="11" t="s">
        <v>955</v>
      </c>
      <c r="T124" s="6"/>
      <c r="U124" s="27" t="str">
        <f>HYPERLINK("https://media.infra-m.ru/0958/0958539/cover/958539.jpg", "Обложка")</f>
        <v>Обложка</v>
      </c>
      <c r="V124" s="27" t="str">
        <f>HYPERLINK("https://znanium.ru/catalog/product/2118072", "Ознакомиться")</f>
        <v>Ознакомиться</v>
      </c>
      <c r="W124" s="8" t="s">
        <v>956</v>
      </c>
      <c r="X124" s="6"/>
      <c r="Y124" s="6" t="s">
        <v>30</v>
      </c>
      <c r="Z124" s="6"/>
      <c r="AA124" s="6"/>
      <c r="AB124" s="6" t="s">
        <v>98</v>
      </c>
    </row>
    <row r="125" spans="1:28" s="4" customFormat="1" ht="51.95" customHeight="1">
      <c r="A125" s="5">
        <v>0</v>
      </c>
      <c r="B125" s="6" t="s">
        <v>961</v>
      </c>
      <c r="C125" s="7">
        <v>1754</v>
      </c>
      <c r="D125" s="8" t="s">
        <v>962</v>
      </c>
      <c r="E125" s="8" t="s">
        <v>963</v>
      </c>
      <c r="F125" s="8" t="s">
        <v>964</v>
      </c>
      <c r="G125" s="6" t="s">
        <v>38</v>
      </c>
      <c r="H125" s="6" t="s">
        <v>54</v>
      </c>
      <c r="I125" s="8" t="s">
        <v>40</v>
      </c>
      <c r="J125" s="9">
        <v>1</v>
      </c>
      <c r="K125" s="9">
        <v>373</v>
      </c>
      <c r="L125" s="9">
        <v>2024</v>
      </c>
      <c r="M125" s="8" t="s">
        <v>965</v>
      </c>
      <c r="N125" s="8" t="s">
        <v>56</v>
      </c>
      <c r="O125" s="8" t="s">
        <v>57</v>
      </c>
      <c r="P125" s="6" t="s">
        <v>58</v>
      </c>
      <c r="Q125" s="8" t="s">
        <v>45</v>
      </c>
      <c r="R125" s="10" t="s">
        <v>966</v>
      </c>
      <c r="S125" s="11" t="s">
        <v>967</v>
      </c>
      <c r="T125" s="6"/>
      <c r="U125" s="27" t="str">
        <f>HYPERLINK("https://media.infra-m.ru/2137/2137074/cover/2137074.jpg", "Обложка")</f>
        <v>Обложка</v>
      </c>
      <c r="V125" s="27" t="str">
        <f>HYPERLINK("https://znanium.ru/catalog/product/1141778", "Ознакомиться")</f>
        <v>Ознакомиться</v>
      </c>
      <c r="W125" s="8" t="s">
        <v>968</v>
      </c>
      <c r="X125" s="6"/>
      <c r="Y125" s="6" t="s">
        <v>30</v>
      </c>
      <c r="Z125" s="6"/>
      <c r="AA125" s="6"/>
      <c r="AB125" s="6" t="s">
        <v>678</v>
      </c>
    </row>
    <row r="126" spans="1:28" s="4" customFormat="1" ht="51.95" customHeight="1">
      <c r="A126" s="5">
        <v>0</v>
      </c>
      <c r="B126" s="6" t="s">
        <v>969</v>
      </c>
      <c r="C126" s="7">
        <v>1040</v>
      </c>
      <c r="D126" s="8" t="s">
        <v>970</v>
      </c>
      <c r="E126" s="8" t="s">
        <v>971</v>
      </c>
      <c r="F126" s="8" t="s">
        <v>972</v>
      </c>
      <c r="G126" s="6" t="s">
        <v>38</v>
      </c>
      <c r="H126" s="6" t="s">
        <v>54</v>
      </c>
      <c r="I126" s="8" t="s">
        <v>40</v>
      </c>
      <c r="J126" s="9">
        <v>1</v>
      </c>
      <c r="K126" s="9">
        <v>412</v>
      </c>
      <c r="L126" s="9">
        <v>2018</v>
      </c>
      <c r="M126" s="8" t="s">
        <v>973</v>
      </c>
      <c r="N126" s="8" t="s">
        <v>56</v>
      </c>
      <c r="O126" s="8" t="s">
        <v>57</v>
      </c>
      <c r="P126" s="6" t="s">
        <v>58</v>
      </c>
      <c r="Q126" s="8" t="s">
        <v>45</v>
      </c>
      <c r="R126" s="10" t="s">
        <v>966</v>
      </c>
      <c r="S126" s="11" t="s">
        <v>974</v>
      </c>
      <c r="T126" s="6"/>
      <c r="U126" s="27" t="str">
        <f>HYPERLINK("https://media.infra-m.ru/0942/0942771/cover/942771.jpg", "Обложка")</f>
        <v>Обложка</v>
      </c>
      <c r="V126" s="27" t="str">
        <f>HYPERLINK("https://znanium.ru/catalog/product/1141778", "Ознакомиться")</f>
        <v>Ознакомиться</v>
      </c>
      <c r="W126" s="8" t="s">
        <v>968</v>
      </c>
      <c r="X126" s="6"/>
      <c r="Y126" s="6" t="s">
        <v>30</v>
      </c>
      <c r="Z126" s="6"/>
      <c r="AA126" s="6"/>
      <c r="AB126" s="6" t="s">
        <v>571</v>
      </c>
    </row>
    <row r="127" spans="1:28" s="4" customFormat="1" ht="51.95" customHeight="1">
      <c r="A127" s="5">
        <v>0</v>
      </c>
      <c r="B127" s="6" t="s">
        <v>975</v>
      </c>
      <c r="C127" s="7">
        <v>1624</v>
      </c>
      <c r="D127" s="8" t="s">
        <v>976</v>
      </c>
      <c r="E127" s="8" t="s">
        <v>977</v>
      </c>
      <c r="F127" s="8" t="s">
        <v>978</v>
      </c>
      <c r="G127" s="6" t="s">
        <v>38</v>
      </c>
      <c r="H127" s="6" t="s">
        <v>54</v>
      </c>
      <c r="I127" s="8" t="s">
        <v>40</v>
      </c>
      <c r="J127" s="9">
        <v>1</v>
      </c>
      <c r="K127" s="9">
        <v>336</v>
      </c>
      <c r="L127" s="9">
        <v>2024</v>
      </c>
      <c r="M127" s="8" t="s">
        <v>979</v>
      </c>
      <c r="N127" s="8" t="s">
        <v>56</v>
      </c>
      <c r="O127" s="8" t="s">
        <v>593</v>
      </c>
      <c r="P127" s="6" t="s">
        <v>44</v>
      </c>
      <c r="Q127" s="8" t="s">
        <v>45</v>
      </c>
      <c r="R127" s="10" t="s">
        <v>980</v>
      </c>
      <c r="S127" s="11" t="s">
        <v>981</v>
      </c>
      <c r="T127" s="6"/>
      <c r="U127" s="27" t="str">
        <f>HYPERLINK("https://media.infra-m.ru/2128/2128792/cover/2128792.jpg", "Обложка")</f>
        <v>Обложка</v>
      </c>
      <c r="V127" s="27" t="str">
        <f>HYPERLINK("https://znanium.ru/catalog/product/1896607", "Ознакомиться")</f>
        <v>Ознакомиться</v>
      </c>
      <c r="W127" s="8" t="s">
        <v>730</v>
      </c>
      <c r="X127" s="6"/>
      <c r="Y127" s="6" t="s">
        <v>30</v>
      </c>
      <c r="Z127" s="6"/>
      <c r="AA127" s="6"/>
      <c r="AB127" s="6" t="s">
        <v>833</v>
      </c>
    </row>
    <row r="128" spans="1:28" s="4" customFormat="1" ht="51.95" customHeight="1">
      <c r="A128" s="5">
        <v>0</v>
      </c>
      <c r="B128" s="6" t="s">
        <v>982</v>
      </c>
      <c r="C128" s="7">
        <v>1094</v>
      </c>
      <c r="D128" s="8" t="s">
        <v>983</v>
      </c>
      <c r="E128" s="8" t="s">
        <v>984</v>
      </c>
      <c r="F128" s="8" t="s">
        <v>985</v>
      </c>
      <c r="G128" s="6" t="s">
        <v>38</v>
      </c>
      <c r="H128" s="6" t="s">
        <v>54</v>
      </c>
      <c r="I128" s="8" t="s">
        <v>247</v>
      </c>
      <c r="J128" s="9">
        <v>1</v>
      </c>
      <c r="K128" s="9">
        <v>236</v>
      </c>
      <c r="L128" s="9">
        <v>2023</v>
      </c>
      <c r="M128" s="8" t="s">
        <v>986</v>
      </c>
      <c r="N128" s="8" t="s">
        <v>264</v>
      </c>
      <c r="O128" s="8" t="s">
        <v>371</v>
      </c>
      <c r="P128" s="6" t="s">
        <v>58</v>
      </c>
      <c r="Q128" s="8" t="s">
        <v>79</v>
      </c>
      <c r="R128" s="10" t="s">
        <v>987</v>
      </c>
      <c r="S128" s="11" t="s">
        <v>988</v>
      </c>
      <c r="T128" s="6"/>
      <c r="U128" s="27" t="str">
        <f>HYPERLINK("https://media.infra-m.ru/2110/2110481/cover/2110481.jpg", "Обложка")</f>
        <v>Обложка</v>
      </c>
      <c r="V128" s="27" t="str">
        <f>HYPERLINK("https://znanium.ru/catalog/product/2096826", "Ознакомиться")</f>
        <v>Ознакомиться</v>
      </c>
      <c r="W128" s="8" t="s">
        <v>989</v>
      </c>
      <c r="X128" s="6"/>
      <c r="Y128" s="6" t="s">
        <v>30</v>
      </c>
      <c r="Z128" s="6"/>
      <c r="AA128" s="6"/>
      <c r="AB128" s="6" t="s">
        <v>215</v>
      </c>
    </row>
    <row r="129" spans="1:28" s="4" customFormat="1" ht="51.95" customHeight="1">
      <c r="A129" s="5">
        <v>0</v>
      </c>
      <c r="B129" s="6" t="s">
        <v>990</v>
      </c>
      <c r="C129" s="7">
        <v>2180</v>
      </c>
      <c r="D129" s="8" t="s">
        <v>991</v>
      </c>
      <c r="E129" s="8" t="s">
        <v>992</v>
      </c>
      <c r="F129" s="8" t="s">
        <v>459</v>
      </c>
      <c r="G129" s="6" t="s">
        <v>173</v>
      </c>
      <c r="H129" s="6" t="s">
        <v>54</v>
      </c>
      <c r="I129" s="8" t="s">
        <v>247</v>
      </c>
      <c r="J129" s="9">
        <v>1</v>
      </c>
      <c r="K129" s="9">
        <v>474</v>
      </c>
      <c r="L129" s="9">
        <v>2024</v>
      </c>
      <c r="M129" s="8" t="s">
        <v>993</v>
      </c>
      <c r="N129" s="8" t="s">
        <v>264</v>
      </c>
      <c r="O129" s="8" t="s">
        <v>371</v>
      </c>
      <c r="P129" s="6" t="s">
        <v>44</v>
      </c>
      <c r="Q129" s="8" t="s">
        <v>88</v>
      </c>
      <c r="R129" s="10" t="s">
        <v>994</v>
      </c>
      <c r="S129" s="11" t="s">
        <v>995</v>
      </c>
      <c r="T129" s="6"/>
      <c r="U129" s="27" t="str">
        <f>HYPERLINK("https://media.infra-m.ru/2079/2079261/cover/2079261.jpg", "Обложка")</f>
        <v>Обложка</v>
      </c>
      <c r="V129" s="27" t="str">
        <f>HYPERLINK("https://znanium.ru/catalog/product/2079261", "Ознакомиться")</f>
        <v>Ознакомиться</v>
      </c>
      <c r="W129" s="8" t="s">
        <v>455</v>
      </c>
      <c r="X129" s="6"/>
      <c r="Y129" s="6" t="s">
        <v>30</v>
      </c>
      <c r="Z129" s="6"/>
      <c r="AA129" s="6"/>
      <c r="AB129" s="6" t="s">
        <v>356</v>
      </c>
    </row>
    <row r="130" spans="1:28" s="4" customFormat="1" ht="51.95" customHeight="1">
      <c r="A130" s="5">
        <v>0</v>
      </c>
      <c r="B130" s="6" t="s">
        <v>996</v>
      </c>
      <c r="C130" s="7">
        <v>1820</v>
      </c>
      <c r="D130" s="8" t="s">
        <v>997</v>
      </c>
      <c r="E130" s="8" t="s">
        <v>998</v>
      </c>
      <c r="F130" s="8" t="s">
        <v>999</v>
      </c>
      <c r="G130" s="6" t="s">
        <v>38</v>
      </c>
      <c r="H130" s="6" t="s">
        <v>54</v>
      </c>
      <c r="I130" s="8" t="s">
        <v>77</v>
      </c>
      <c r="J130" s="9">
        <v>1</v>
      </c>
      <c r="K130" s="9">
        <v>479</v>
      </c>
      <c r="L130" s="9">
        <v>2022</v>
      </c>
      <c r="M130" s="8" t="s">
        <v>1000</v>
      </c>
      <c r="N130" s="8" t="s">
        <v>56</v>
      </c>
      <c r="O130" s="8" t="s">
        <v>57</v>
      </c>
      <c r="P130" s="6" t="s">
        <v>44</v>
      </c>
      <c r="Q130" s="8" t="s">
        <v>79</v>
      </c>
      <c r="R130" s="10" t="s">
        <v>1001</v>
      </c>
      <c r="S130" s="11" t="s">
        <v>1002</v>
      </c>
      <c r="T130" s="6"/>
      <c r="U130" s="27" t="str">
        <f>HYPERLINK("https://media.infra-m.ru/1853/1853549/cover/1853549.jpg", "Обложка")</f>
        <v>Обложка</v>
      </c>
      <c r="V130" s="27" t="str">
        <f>HYPERLINK("https://znanium.ru/catalog/product/1853549", "Ознакомиться")</f>
        <v>Ознакомиться</v>
      </c>
      <c r="W130" s="8" t="s">
        <v>1003</v>
      </c>
      <c r="X130" s="6"/>
      <c r="Y130" s="6" t="s">
        <v>30</v>
      </c>
      <c r="Z130" s="6"/>
      <c r="AA130" s="6"/>
      <c r="AB130" s="6" t="s">
        <v>375</v>
      </c>
    </row>
    <row r="131" spans="1:28" s="4" customFormat="1" ht="44.1" customHeight="1">
      <c r="A131" s="5">
        <v>0</v>
      </c>
      <c r="B131" s="6" t="s">
        <v>1004</v>
      </c>
      <c r="C131" s="7">
        <v>1430</v>
      </c>
      <c r="D131" s="8" t="s">
        <v>1005</v>
      </c>
      <c r="E131" s="8" t="s">
        <v>1006</v>
      </c>
      <c r="F131" s="8" t="s">
        <v>1007</v>
      </c>
      <c r="G131" s="6" t="s">
        <v>38</v>
      </c>
      <c r="H131" s="6" t="s">
        <v>229</v>
      </c>
      <c r="I131" s="8"/>
      <c r="J131" s="9">
        <v>1</v>
      </c>
      <c r="K131" s="9">
        <v>304</v>
      </c>
      <c r="L131" s="9">
        <v>2024</v>
      </c>
      <c r="M131" s="8" t="s">
        <v>1008</v>
      </c>
      <c r="N131" s="8" t="s">
        <v>56</v>
      </c>
      <c r="O131" s="8" t="s">
        <v>231</v>
      </c>
      <c r="P131" s="6" t="s">
        <v>44</v>
      </c>
      <c r="Q131" s="8" t="s">
        <v>45</v>
      </c>
      <c r="R131" s="10" t="s">
        <v>1009</v>
      </c>
      <c r="S131" s="11"/>
      <c r="T131" s="6"/>
      <c r="U131" s="27" t="str">
        <f>HYPERLINK("https://media.infra-m.ru/2057/2057672/cover/2057672.jpg", "Обложка")</f>
        <v>Обложка</v>
      </c>
      <c r="V131" s="27" t="str">
        <f>HYPERLINK("https://znanium.ru/catalog/product/2057672", "Ознакомиться")</f>
        <v>Ознакомиться</v>
      </c>
      <c r="W131" s="8" t="s">
        <v>1010</v>
      </c>
      <c r="X131" s="6"/>
      <c r="Y131" s="6" t="s">
        <v>30</v>
      </c>
      <c r="Z131" s="6"/>
      <c r="AA131" s="6"/>
      <c r="AB131" s="6" t="s">
        <v>300</v>
      </c>
    </row>
    <row r="132" spans="1:28" s="4" customFormat="1" ht="51.95" customHeight="1">
      <c r="A132" s="5">
        <v>0</v>
      </c>
      <c r="B132" s="6" t="s">
        <v>1011</v>
      </c>
      <c r="C132" s="7">
        <v>1220</v>
      </c>
      <c r="D132" s="8" t="s">
        <v>1012</v>
      </c>
      <c r="E132" s="8" t="s">
        <v>1013</v>
      </c>
      <c r="F132" s="8" t="s">
        <v>1014</v>
      </c>
      <c r="G132" s="6" t="s">
        <v>38</v>
      </c>
      <c r="H132" s="6" t="s">
        <v>54</v>
      </c>
      <c r="I132" s="8" t="s">
        <v>77</v>
      </c>
      <c r="J132" s="9">
        <v>1</v>
      </c>
      <c r="K132" s="9">
        <v>270</v>
      </c>
      <c r="L132" s="9">
        <v>2023</v>
      </c>
      <c r="M132" s="8" t="s">
        <v>1015</v>
      </c>
      <c r="N132" s="8" t="s">
        <v>137</v>
      </c>
      <c r="O132" s="8" t="s">
        <v>521</v>
      </c>
      <c r="P132" s="6" t="s">
        <v>44</v>
      </c>
      <c r="Q132" s="8" t="s">
        <v>79</v>
      </c>
      <c r="R132" s="10" t="s">
        <v>1016</v>
      </c>
      <c r="S132" s="11" t="s">
        <v>1017</v>
      </c>
      <c r="T132" s="6"/>
      <c r="U132" s="27" t="str">
        <f>HYPERLINK("https://media.infra-m.ru/1913/1913855/cover/1913855.jpg", "Обложка")</f>
        <v>Обложка</v>
      </c>
      <c r="V132" s="27" t="str">
        <f>HYPERLINK("https://znanium.ru/catalog/product/1984951", "Ознакомиться")</f>
        <v>Ознакомиться</v>
      </c>
      <c r="W132" s="8" t="s">
        <v>507</v>
      </c>
      <c r="X132" s="6"/>
      <c r="Y132" s="6" t="s">
        <v>30</v>
      </c>
      <c r="Z132" s="6"/>
      <c r="AA132" s="6"/>
      <c r="AB132" s="6" t="s">
        <v>480</v>
      </c>
    </row>
    <row r="133" spans="1:28" s="4" customFormat="1" ht="42" customHeight="1">
      <c r="A133" s="5">
        <v>0</v>
      </c>
      <c r="B133" s="6" t="s">
        <v>1018</v>
      </c>
      <c r="C133" s="7">
        <v>1390</v>
      </c>
      <c r="D133" s="8" t="s">
        <v>1019</v>
      </c>
      <c r="E133" s="8" t="s">
        <v>1020</v>
      </c>
      <c r="F133" s="8" t="s">
        <v>1021</v>
      </c>
      <c r="G133" s="6" t="s">
        <v>173</v>
      </c>
      <c r="H133" s="6" t="s">
        <v>54</v>
      </c>
      <c r="I133" s="8" t="s">
        <v>1022</v>
      </c>
      <c r="J133" s="9">
        <v>1</v>
      </c>
      <c r="K133" s="9">
        <v>296</v>
      </c>
      <c r="L133" s="9">
        <v>2023</v>
      </c>
      <c r="M133" s="8" t="s">
        <v>1023</v>
      </c>
      <c r="N133" s="8" t="s">
        <v>137</v>
      </c>
      <c r="O133" s="8" t="s">
        <v>138</v>
      </c>
      <c r="P133" s="6" t="s">
        <v>44</v>
      </c>
      <c r="Q133" s="8" t="s">
        <v>79</v>
      </c>
      <c r="R133" s="10" t="s">
        <v>1016</v>
      </c>
      <c r="S133" s="11"/>
      <c r="T133" s="6"/>
      <c r="U133" s="27" t="str">
        <f>HYPERLINK("https://media.infra-m.ru/1984/1984951/cover/1984951.jpg", "Обложка")</f>
        <v>Обложка</v>
      </c>
      <c r="V133" s="27" t="str">
        <f>HYPERLINK("https://znanium.ru/catalog/product/1984951", "Ознакомиться")</f>
        <v>Ознакомиться</v>
      </c>
      <c r="W133" s="8" t="s">
        <v>507</v>
      </c>
      <c r="X133" s="6" t="s">
        <v>279</v>
      </c>
      <c r="Y133" s="6" t="s">
        <v>30</v>
      </c>
      <c r="Z133" s="6"/>
      <c r="AA133" s="6"/>
      <c r="AB133" s="6" t="s">
        <v>759</v>
      </c>
    </row>
    <row r="134" spans="1:28" s="4" customFormat="1" ht="42" customHeight="1">
      <c r="A134" s="5">
        <v>0</v>
      </c>
      <c r="B134" s="6" t="s">
        <v>1024</v>
      </c>
      <c r="C134" s="7">
        <v>2330</v>
      </c>
      <c r="D134" s="8" t="s">
        <v>1025</v>
      </c>
      <c r="E134" s="8" t="s">
        <v>1026</v>
      </c>
      <c r="F134" s="8" t="s">
        <v>1027</v>
      </c>
      <c r="G134" s="6" t="s">
        <v>173</v>
      </c>
      <c r="H134" s="6" t="s">
        <v>54</v>
      </c>
      <c r="I134" s="8" t="s">
        <v>247</v>
      </c>
      <c r="J134" s="9">
        <v>1</v>
      </c>
      <c r="K134" s="9">
        <v>506</v>
      </c>
      <c r="L134" s="9">
        <v>2024</v>
      </c>
      <c r="M134" s="8" t="s">
        <v>1028</v>
      </c>
      <c r="N134" s="8" t="s">
        <v>137</v>
      </c>
      <c r="O134" s="8" t="s">
        <v>521</v>
      </c>
      <c r="P134" s="6" t="s">
        <v>44</v>
      </c>
      <c r="Q134" s="8" t="s">
        <v>79</v>
      </c>
      <c r="R134" s="10" t="s">
        <v>1029</v>
      </c>
      <c r="S134" s="11"/>
      <c r="T134" s="6"/>
      <c r="U134" s="27" t="str">
        <f>HYPERLINK("https://media.infra-m.ru/2079/2079647/cover/2079647.jpg", "Обложка")</f>
        <v>Обложка</v>
      </c>
      <c r="V134" s="27" t="str">
        <f>HYPERLINK("https://znanium.ru/catalog/product/2079647", "Ознакомиться")</f>
        <v>Ознакомиться</v>
      </c>
      <c r="W134" s="8" t="s">
        <v>1030</v>
      </c>
      <c r="X134" s="6"/>
      <c r="Y134" s="6" t="s">
        <v>30</v>
      </c>
      <c r="Z134" s="6"/>
      <c r="AA134" s="6"/>
      <c r="AB134" s="6" t="s">
        <v>1031</v>
      </c>
    </row>
    <row r="135" spans="1:28" s="4" customFormat="1" ht="51.95" customHeight="1">
      <c r="A135" s="5">
        <v>0</v>
      </c>
      <c r="B135" s="6" t="s">
        <v>1032</v>
      </c>
      <c r="C135" s="7">
        <v>1624</v>
      </c>
      <c r="D135" s="8" t="s">
        <v>1033</v>
      </c>
      <c r="E135" s="8" t="s">
        <v>1034</v>
      </c>
      <c r="F135" s="8" t="s">
        <v>1035</v>
      </c>
      <c r="G135" s="6" t="s">
        <v>38</v>
      </c>
      <c r="H135" s="6" t="s">
        <v>54</v>
      </c>
      <c r="I135" s="8" t="s">
        <v>77</v>
      </c>
      <c r="J135" s="9">
        <v>1</v>
      </c>
      <c r="K135" s="9">
        <v>352</v>
      </c>
      <c r="L135" s="9">
        <v>2024</v>
      </c>
      <c r="M135" s="8" t="s">
        <v>1036</v>
      </c>
      <c r="N135" s="8" t="s">
        <v>137</v>
      </c>
      <c r="O135" s="8" t="s">
        <v>521</v>
      </c>
      <c r="P135" s="6" t="s">
        <v>44</v>
      </c>
      <c r="Q135" s="8" t="s">
        <v>79</v>
      </c>
      <c r="R135" s="10" t="s">
        <v>1037</v>
      </c>
      <c r="S135" s="11" t="s">
        <v>1038</v>
      </c>
      <c r="T135" s="6"/>
      <c r="U135" s="27" t="str">
        <f>HYPERLINK("https://media.infra-m.ru/2056/2056637/cover/2056637.jpg", "Обложка")</f>
        <v>Обложка</v>
      </c>
      <c r="V135" s="27" t="str">
        <f>HYPERLINK("https://znanium.ru/catalog/product/2056637", "Ознакомиться")</f>
        <v>Ознакомиться</v>
      </c>
      <c r="W135" s="8" t="s">
        <v>747</v>
      </c>
      <c r="X135" s="6"/>
      <c r="Y135" s="6" t="s">
        <v>30</v>
      </c>
      <c r="Z135" s="6"/>
      <c r="AA135" s="6"/>
      <c r="AB135" s="6" t="s">
        <v>120</v>
      </c>
    </row>
    <row r="136" spans="1:28" s="4" customFormat="1" ht="51.95" customHeight="1">
      <c r="A136" s="5">
        <v>0</v>
      </c>
      <c r="B136" s="6" t="s">
        <v>1039</v>
      </c>
      <c r="C136" s="7">
        <v>1400</v>
      </c>
      <c r="D136" s="8" t="s">
        <v>1040</v>
      </c>
      <c r="E136" s="8" t="s">
        <v>1041</v>
      </c>
      <c r="F136" s="8" t="s">
        <v>845</v>
      </c>
      <c r="G136" s="6" t="s">
        <v>38</v>
      </c>
      <c r="H136" s="6" t="s">
        <v>54</v>
      </c>
      <c r="I136" s="8" t="s">
        <v>40</v>
      </c>
      <c r="J136" s="9">
        <v>1</v>
      </c>
      <c r="K136" s="9">
        <v>309</v>
      </c>
      <c r="L136" s="9">
        <v>2023</v>
      </c>
      <c r="M136" s="8" t="s">
        <v>1042</v>
      </c>
      <c r="N136" s="8" t="s">
        <v>137</v>
      </c>
      <c r="O136" s="8" t="s">
        <v>138</v>
      </c>
      <c r="P136" s="6" t="s">
        <v>58</v>
      </c>
      <c r="Q136" s="8" t="s">
        <v>45</v>
      </c>
      <c r="R136" s="10" t="s">
        <v>1043</v>
      </c>
      <c r="S136" s="11" t="s">
        <v>1044</v>
      </c>
      <c r="T136" s="6"/>
      <c r="U136" s="27" t="str">
        <f>HYPERLINK("https://media.infra-m.ru/1916/1916136/cover/1916136.jpg", "Обложка")</f>
        <v>Обложка</v>
      </c>
      <c r="V136" s="27" t="str">
        <f>HYPERLINK("https://znanium.ru/catalog/product/1916136", "Ознакомиться")</f>
        <v>Ознакомиться</v>
      </c>
      <c r="W136" s="8" t="s">
        <v>849</v>
      </c>
      <c r="X136" s="6"/>
      <c r="Y136" s="6" t="s">
        <v>30</v>
      </c>
      <c r="Z136" s="6"/>
      <c r="AA136" s="6"/>
      <c r="AB136" s="6" t="s">
        <v>108</v>
      </c>
    </row>
    <row r="137" spans="1:28" s="4" customFormat="1" ht="44.1" customHeight="1">
      <c r="A137" s="5">
        <v>0</v>
      </c>
      <c r="B137" s="6" t="s">
        <v>1045</v>
      </c>
      <c r="C137" s="7">
        <v>1800</v>
      </c>
      <c r="D137" s="8" t="s">
        <v>1046</v>
      </c>
      <c r="E137" s="8" t="s">
        <v>1047</v>
      </c>
      <c r="F137" s="8" t="s">
        <v>1048</v>
      </c>
      <c r="G137" s="6" t="s">
        <v>38</v>
      </c>
      <c r="H137" s="6" t="s">
        <v>229</v>
      </c>
      <c r="I137" s="8" t="s">
        <v>40</v>
      </c>
      <c r="J137" s="9">
        <v>1</v>
      </c>
      <c r="K137" s="9">
        <v>384</v>
      </c>
      <c r="L137" s="9">
        <v>2024</v>
      </c>
      <c r="M137" s="8" t="s">
        <v>1049</v>
      </c>
      <c r="N137" s="8" t="s">
        <v>56</v>
      </c>
      <c r="O137" s="8" t="s">
        <v>231</v>
      </c>
      <c r="P137" s="6" t="s">
        <v>44</v>
      </c>
      <c r="Q137" s="8" t="s">
        <v>45</v>
      </c>
      <c r="R137" s="10" t="s">
        <v>1050</v>
      </c>
      <c r="S137" s="11"/>
      <c r="T137" s="6"/>
      <c r="U137" s="27" t="str">
        <f>HYPERLINK("https://media.infra-m.ru/2096/2096066/cover/2096066.jpg", "Обложка")</f>
        <v>Обложка</v>
      </c>
      <c r="V137" s="27" t="str">
        <f>HYPERLINK("https://znanium.ru/catalog/product/2096066", "Ознакомиться")</f>
        <v>Ознакомиться</v>
      </c>
      <c r="W137" s="8" t="s">
        <v>1051</v>
      </c>
      <c r="X137" s="6"/>
      <c r="Y137" s="6" t="s">
        <v>30</v>
      </c>
      <c r="Z137" s="6"/>
      <c r="AA137" s="6"/>
      <c r="AB137" s="6" t="s">
        <v>215</v>
      </c>
    </row>
    <row r="138" spans="1:28" s="4" customFormat="1" ht="51.95" customHeight="1">
      <c r="A138" s="5">
        <v>0</v>
      </c>
      <c r="B138" s="6" t="s">
        <v>1052</v>
      </c>
      <c r="C138" s="13">
        <v>730</v>
      </c>
      <c r="D138" s="8" t="s">
        <v>1053</v>
      </c>
      <c r="E138" s="8" t="s">
        <v>1054</v>
      </c>
      <c r="F138" s="8" t="s">
        <v>1055</v>
      </c>
      <c r="G138" s="6" t="s">
        <v>38</v>
      </c>
      <c r="H138" s="6" t="s">
        <v>54</v>
      </c>
      <c r="I138" s="8" t="s">
        <v>77</v>
      </c>
      <c r="J138" s="9">
        <v>1</v>
      </c>
      <c r="K138" s="9">
        <v>160</v>
      </c>
      <c r="L138" s="9">
        <v>2023</v>
      </c>
      <c r="M138" s="8" t="s">
        <v>1056</v>
      </c>
      <c r="N138" s="8" t="s">
        <v>137</v>
      </c>
      <c r="O138" s="8" t="s">
        <v>521</v>
      </c>
      <c r="P138" s="6" t="s">
        <v>58</v>
      </c>
      <c r="Q138" s="8" t="s">
        <v>79</v>
      </c>
      <c r="R138" s="10" t="s">
        <v>1057</v>
      </c>
      <c r="S138" s="11" t="s">
        <v>1058</v>
      </c>
      <c r="T138" s="6"/>
      <c r="U138" s="27" t="str">
        <f>HYPERLINK("https://media.infra-m.ru/1939/1939092/cover/1939092.jpg", "Обложка")</f>
        <v>Обложка</v>
      </c>
      <c r="V138" s="27" t="str">
        <f>HYPERLINK("https://znanium.ru/catalog/product/1939092", "Ознакомиться")</f>
        <v>Ознакомиться</v>
      </c>
      <c r="W138" s="8" t="s">
        <v>1059</v>
      </c>
      <c r="X138" s="6"/>
      <c r="Y138" s="6" t="s">
        <v>30</v>
      </c>
      <c r="Z138" s="6"/>
      <c r="AA138" s="6"/>
      <c r="AB138" s="6" t="s">
        <v>98</v>
      </c>
    </row>
    <row r="139" spans="1:28" s="4" customFormat="1" ht="51.95" customHeight="1">
      <c r="A139" s="5">
        <v>0</v>
      </c>
      <c r="B139" s="6" t="s">
        <v>1060</v>
      </c>
      <c r="C139" s="7">
        <v>1794.9</v>
      </c>
      <c r="D139" s="8" t="s">
        <v>1061</v>
      </c>
      <c r="E139" s="8" t="s">
        <v>1062</v>
      </c>
      <c r="F139" s="8" t="s">
        <v>1063</v>
      </c>
      <c r="G139" s="6" t="s">
        <v>76</v>
      </c>
      <c r="H139" s="6" t="s">
        <v>39</v>
      </c>
      <c r="I139" s="8" t="s">
        <v>114</v>
      </c>
      <c r="J139" s="9">
        <v>1</v>
      </c>
      <c r="K139" s="9">
        <v>384</v>
      </c>
      <c r="L139" s="9">
        <v>2021</v>
      </c>
      <c r="M139" s="8" t="s">
        <v>1064</v>
      </c>
      <c r="N139" s="8" t="s">
        <v>137</v>
      </c>
      <c r="O139" s="8" t="s">
        <v>754</v>
      </c>
      <c r="P139" s="6" t="s">
        <v>44</v>
      </c>
      <c r="Q139" s="8" t="s">
        <v>45</v>
      </c>
      <c r="R139" s="10" t="s">
        <v>1065</v>
      </c>
      <c r="S139" s="11" t="s">
        <v>1066</v>
      </c>
      <c r="T139" s="6"/>
      <c r="U139" s="27" t="str">
        <f>HYPERLINK("https://media.infra-m.ru/1255/1255622/cover/1255622.jpg", "Обложка")</f>
        <v>Обложка</v>
      </c>
      <c r="V139" s="27" t="str">
        <f>HYPERLINK("https://znanium.ru/catalog/product/2131539", "Ознакомиться")</f>
        <v>Ознакомиться</v>
      </c>
      <c r="W139" s="8" t="s">
        <v>1067</v>
      </c>
      <c r="X139" s="6"/>
      <c r="Y139" s="6" t="s">
        <v>30</v>
      </c>
      <c r="Z139" s="6"/>
      <c r="AA139" s="6"/>
      <c r="AB139" s="6" t="s">
        <v>82</v>
      </c>
    </row>
    <row r="140" spans="1:28" s="4" customFormat="1" ht="51.95" customHeight="1">
      <c r="A140" s="5">
        <v>0</v>
      </c>
      <c r="B140" s="6" t="s">
        <v>1068</v>
      </c>
      <c r="C140" s="7">
        <v>2350</v>
      </c>
      <c r="D140" s="8" t="s">
        <v>1069</v>
      </c>
      <c r="E140" s="8" t="s">
        <v>1070</v>
      </c>
      <c r="F140" s="8" t="s">
        <v>1063</v>
      </c>
      <c r="G140" s="6" t="s">
        <v>38</v>
      </c>
      <c r="H140" s="6" t="s">
        <v>39</v>
      </c>
      <c r="I140" s="8" t="s">
        <v>114</v>
      </c>
      <c r="J140" s="9">
        <v>1</v>
      </c>
      <c r="K140" s="9">
        <v>384</v>
      </c>
      <c r="L140" s="9">
        <v>2024</v>
      </c>
      <c r="M140" s="8" t="s">
        <v>1071</v>
      </c>
      <c r="N140" s="8" t="s">
        <v>137</v>
      </c>
      <c r="O140" s="8" t="s">
        <v>754</v>
      </c>
      <c r="P140" s="6" t="s">
        <v>44</v>
      </c>
      <c r="Q140" s="8" t="s">
        <v>45</v>
      </c>
      <c r="R140" s="10" t="s">
        <v>1065</v>
      </c>
      <c r="S140" s="11" t="s">
        <v>1066</v>
      </c>
      <c r="T140" s="6"/>
      <c r="U140" s="27" t="str">
        <f>HYPERLINK("https://media.infra-m.ru/2131/2131539/cover/2131539.jpg", "Обложка")</f>
        <v>Обложка</v>
      </c>
      <c r="V140" s="27" t="str">
        <f>HYPERLINK("https://znanium.ru/catalog/product/2131539", "Ознакомиться")</f>
        <v>Ознакомиться</v>
      </c>
      <c r="W140" s="8" t="s">
        <v>1067</v>
      </c>
      <c r="X140" s="6"/>
      <c r="Y140" s="6" t="s">
        <v>30</v>
      </c>
      <c r="Z140" s="6"/>
      <c r="AA140" s="6"/>
      <c r="AB140" s="6" t="s">
        <v>82</v>
      </c>
    </row>
    <row r="141" spans="1:28" s="4" customFormat="1" ht="51.95" customHeight="1">
      <c r="A141" s="5">
        <v>0</v>
      </c>
      <c r="B141" s="6" t="s">
        <v>1072</v>
      </c>
      <c r="C141" s="7">
        <v>1200</v>
      </c>
      <c r="D141" s="8" t="s">
        <v>1073</v>
      </c>
      <c r="E141" s="8" t="s">
        <v>1074</v>
      </c>
      <c r="F141" s="8" t="s">
        <v>1075</v>
      </c>
      <c r="G141" s="6" t="s">
        <v>38</v>
      </c>
      <c r="H141" s="6" t="s">
        <v>54</v>
      </c>
      <c r="I141" s="8" t="s">
        <v>40</v>
      </c>
      <c r="J141" s="9">
        <v>1</v>
      </c>
      <c r="K141" s="9">
        <v>254</v>
      </c>
      <c r="L141" s="9">
        <v>2024</v>
      </c>
      <c r="M141" s="8" t="s">
        <v>1076</v>
      </c>
      <c r="N141" s="8" t="s">
        <v>56</v>
      </c>
      <c r="O141" s="8" t="s">
        <v>593</v>
      </c>
      <c r="P141" s="6" t="s">
        <v>44</v>
      </c>
      <c r="Q141" s="8" t="s">
        <v>45</v>
      </c>
      <c r="R141" s="10" t="s">
        <v>1077</v>
      </c>
      <c r="S141" s="11" t="s">
        <v>1078</v>
      </c>
      <c r="T141" s="6"/>
      <c r="U141" s="27" t="str">
        <f>HYPERLINK("https://media.infra-m.ru/2129/2129030/cover/2129030.jpg", "Обложка")</f>
        <v>Обложка</v>
      </c>
      <c r="V141" s="27" t="str">
        <f>HYPERLINK("https://znanium.ru/catalog/product/2129030", "Ознакомиться")</f>
        <v>Ознакомиться</v>
      </c>
      <c r="W141" s="8" t="s">
        <v>730</v>
      </c>
      <c r="X141" s="6"/>
      <c r="Y141" s="6" t="s">
        <v>30</v>
      </c>
      <c r="Z141" s="6"/>
      <c r="AA141" s="6"/>
      <c r="AB141" s="6" t="s">
        <v>1079</v>
      </c>
    </row>
    <row r="142" spans="1:28" s="4" customFormat="1" ht="51.95" customHeight="1">
      <c r="A142" s="5">
        <v>0</v>
      </c>
      <c r="B142" s="6" t="s">
        <v>1080</v>
      </c>
      <c r="C142" s="7">
        <v>1320</v>
      </c>
      <c r="D142" s="8" t="s">
        <v>1081</v>
      </c>
      <c r="E142" s="8" t="s">
        <v>1082</v>
      </c>
      <c r="F142" s="8" t="s">
        <v>1083</v>
      </c>
      <c r="G142" s="6" t="s">
        <v>38</v>
      </c>
      <c r="H142" s="6" t="s">
        <v>54</v>
      </c>
      <c r="I142" s="8" t="s">
        <v>40</v>
      </c>
      <c r="J142" s="9">
        <v>1</v>
      </c>
      <c r="K142" s="9">
        <v>346</v>
      </c>
      <c r="L142" s="9">
        <v>2022</v>
      </c>
      <c r="M142" s="8" t="s">
        <v>1084</v>
      </c>
      <c r="N142" s="8" t="s">
        <v>56</v>
      </c>
      <c r="O142" s="8" t="s">
        <v>231</v>
      </c>
      <c r="P142" s="6" t="s">
        <v>58</v>
      </c>
      <c r="Q142" s="8" t="s">
        <v>45</v>
      </c>
      <c r="R142" s="10" t="s">
        <v>1085</v>
      </c>
      <c r="S142" s="11" t="s">
        <v>1086</v>
      </c>
      <c r="T142" s="6"/>
      <c r="U142" s="27" t="str">
        <f>HYPERLINK("https://media.infra-m.ru/1056/1056856/cover/1056856.jpg", "Обложка")</f>
        <v>Обложка</v>
      </c>
      <c r="V142" s="27" t="str">
        <f>HYPERLINK("https://znanium.ru/catalog/product/1056856", "Ознакомиться")</f>
        <v>Ознакомиться</v>
      </c>
      <c r="W142" s="8" t="s">
        <v>241</v>
      </c>
      <c r="X142" s="6"/>
      <c r="Y142" s="6" t="s">
        <v>30</v>
      </c>
      <c r="Z142" s="6"/>
      <c r="AA142" s="6"/>
      <c r="AB142" s="6" t="s">
        <v>92</v>
      </c>
    </row>
    <row r="143" spans="1:28" s="4" customFormat="1" ht="51.95" customHeight="1">
      <c r="A143" s="5">
        <v>0</v>
      </c>
      <c r="B143" s="6" t="s">
        <v>1087</v>
      </c>
      <c r="C143" s="7">
        <v>1130</v>
      </c>
      <c r="D143" s="8" t="s">
        <v>1088</v>
      </c>
      <c r="E143" s="8" t="s">
        <v>1089</v>
      </c>
      <c r="F143" s="8" t="s">
        <v>1090</v>
      </c>
      <c r="G143" s="6" t="s">
        <v>38</v>
      </c>
      <c r="H143" s="6" t="s">
        <v>229</v>
      </c>
      <c r="I143" s="8"/>
      <c r="J143" s="9">
        <v>1</v>
      </c>
      <c r="K143" s="9">
        <v>240</v>
      </c>
      <c r="L143" s="9">
        <v>2024</v>
      </c>
      <c r="M143" s="8" t="s">
        <v>1091</v>
      </c>
      <c r="N143" s="8" t="s">
        <v>56</v>
      </c>
      <c r="O143" s="8" t="s">
        <v>286</v>
      </c>
      <c r="P143" s="6" t="s">
        <v>44</v>
      </c>
      <c r="Q143" s="8" t="s">
        <v>45</v>
      </c>
      <c r="R143" s="10" t="s">
        <v>1092</v>
      </c>
      <c r="S143" s="11"/>
      <c r="T143" s="6"/>
      <c r="U143" s="27" t="str">
        <f>HYPERLINK("https://media.infra-m.ru/2098/2098993/cover/2098993.jpg", "Обложка")</f>
        <v>Обложка</v>
      </c>
      <c r="V143" s="27" t="str">
        <f>HYPERLINK("https://znanium.ru/catalog/product/2098993", "Ознакомиться")</f>
        <v>Ознакомиться</v>
      </c>
      <c r="W143" s="8" t="s">
        <v>91</v>
      </c>
      <c r="X143" s="6"/>
      <c r="Y143" s="6" t="s">
        <v>30</v>
      </c>
      <c r="Z143" s="6"/>
      <c r="AA143" s="6"/>
      <c r="AB143" s="6" t="s">
        <v>215</v>
      </c>
    </row>
    <row r="144" spans="1:28" s="4" customFormat="1" ht="51.95" customHeight="1">
      <c r="A144" s="5">
        <v>0</v>
      </c>
      <c r="B144" s="6" t="s">
        <v>1093</v>
      </c>
      <c r="C144" s="7">
        <v>1250</v>
      </c>
      <c r="D144" s="8" t="s">
        <v>1094</v>
      </c>
      <c r="E144" s="8" t="s">
        <v>1095</v>
      </c>
      <c r="F144" s="8" t="s">
        <v>1096</v>
      </c>
      <c r="G144" s="6" t="s">
        <v>38</v>
      </c>
      <c r="H144" s="6" t="s">
        <v>54</v>
      </c>
      <c r="I144" s="8" t="s">
        <v>40</v>
      </c>
      <c r="J144" s="9">
        <v>1</v>
      </c>
      <c r="K144" s="9">
        <v>272</v>
      </c>
      <c r="L144" s="9">
        <v>2024</v>
      </c>
      <c r="M144" s="8" t="s">
        <v>1097</v>
      </c>
      <c r="N144" s="8" t="s">
        <v>56</v>
      </c>
      <c r="O144" s="8" t="s">
        <v>286</v>
      </c>
      <c r="P144" s="6" t="s">
        <v>44</v>
      </c>
      <c r="Q144" s="8" t="s">
        <v>45</v>
      </c>
      <c r="R144" s="10" t="s">
        <v>1098</v>
      </c>
      <c r="S144" s="11" t="s">
        <v>1099</v>
      </c>
      <c r="T144" s="6"/>
      <c r="U144" s="27" t="str">
        <f>HYPERLINK("https://media.infra-m.ru/2103/2103210/cover/2103210.jpg", "Обложка")</f>
        <v>Обложка</v>
      </c>
      <c r="V144" s="27" t="str">
        <f>HYPERLINK("https://znanium.ru/catalog/product/2103210", "Ознакомиться")</f>
        <v>Ознакомиться</v>
      </c>
      <c r="W144" s="8" t="s">
        <v>61</v>
      </c>
      <c r="X144" s="6"/>
      <c r="Y144" s="6" t="s">
        <v>30</v>
      </c>
      <c r="Z144" s="6"/>
      <c r="AA144" s="6"/>
      <c r="AB144" s="6" t="s">
        <v>350</v>
      </c>
    </row>
    <row r="145" spans="1:28" s="4" customFormat="1" ht="51.95" customHeight="1">
      <c r="A145" s="5">
        <v>0</v>
      </c>
      <c r="B145" s="6" t="s">
        <v>1100</v>
      </c>
      <c r="C145" s="13">
        <v>390</v>
      </c>
      <c r="D145" s="8" t="s">
        <v>1101</v>
      </c>
      <c r="E145" s="8" t="s">
        <v>1102</v>
      </c>
      <c r="F145" s="8" t="s">
        <v>1103</v>
      </c>
      <c r="G145" s="6" t="s">
        <v>76</v>
      </c>
      <c r="H145" s="6" t="s">
        <v>54</v>
      </c>
      <c r="I145" s="8" t="s">
        <v>77</v>
      </c>
      <c r="J145" s="9">
        <v>1</v>
      </c>
      <c r="K145" s="9">
        <v>127</v>
      </c>
      <c r="L145" s="9">
        <v>2019</v>
      </c>
      <c r="M145" s="8" t="s">
        <v>1104</v>
      </c>
      <c r="N145" s="8" t="s">
        <v>56</v>
      </c>
      <c r="O145" s="8" t="s">
        <v>286</v>
      </c>
      <c r="P145" s="6" t="s">
        <v>58</v>
      </c>
      <c r="Q145" s="8" t="s">
        <v>79</v>
      </c>
      <c r="R145" s="10" t="s">
        <v>1105</v>
      </c>
      <c r="S145" s="11" t="s">
        <v>1106</v>
      </c>
      <c r="T145" s="6"/>
      <c r="U145" s="27" t="str">
        <f>HYPERLINK("https://media.infra-m.ru/0995/0995625/cover/995625.jpg", "Обложка")</f>
        <v>Обложка</v>
      </c>
      <c r="V145" s="27" t="str">
        <f>HYPERLINK("https://znanium.ru/catalog/product/1882575", "Ознакомиться")</f>
        <v>Ознакомиться</v>
      </c>
      <c r="W145" s="8" t="s">
        <v>91</v>
      </c>
      <c r="X145" s="6"/>
      <c r="Y145" s="6" t="s">
        <v>30</v>
      </c>
      <c r="Z145" s="6"/>
      <c r="AA145" s="6"/>
      <c r="AB145" s="6" t="s">
        <v>340</v>
      </c>
    </row>
    <row r="146" spans="1:28" s="4" customFormat="1" ht="42" customHeight="1">
      <c r="A146" s="5">
        <v>0</v>
      </c>
      <c r="B146" s="6" t="s">
        <v>1107</v>
      </c>
      <c r="C146" s="13">
        <v>700</v>
      </c>
      <c r="D146" s="8" t="s">
        <v>1108</v>
      </c>
      <c r="E146" s="8" t="s">
        <v>1109</v>
      </c>
      <c r="F146" s="8" t="s">
        <v>1103</v>
      </c>
      <c r="G146" s="6" t="s">
        <v>173</v>
      </c>
      <c r="H146" s="6" t="s">
        <v>54</v>
      </c>
      <c r="I146" s="8" t="s">
        <v>247</v>
      </c>
      <c r="J146" s="9">
        <v>1</v>
      </c>
      <c r="K146" s="9">
        <v>140</v>
      </c>
      <c r="L146" s="9">
        <v>2023</v>
      </c>
      <c r="M146" s="8" t="s">
        <v>1110</v>
      </c>
      <c r="N146" s="8" t="s">
        <v>56</v>
      </c>
      <c r="O146" s="8" t="s">
        <v>286</v>
      </c>
      <c r="P146" s="6" t="s">
        <v>58</v>
      </c>
      <c r="Q146" s="8" t="s">
        <v>79</v>
      </c>
      <c r="R146" s="10" t="s">
        <v>1105</v>
      </c>
      <c r="S146" s="11"/>
      <c r="T146" s="6"/>
      <c r="U146" s="27" t="str">
        <f>HYPERLINK("https://media.infra-m.ru/1882/1882575/cover/1882575.jpg", "Обложка")</f>
        <v>Обложка</v>
      </c>
      <c r="V146" s="27" t="str">
        <f>HYPERLINK("https://znanium.ru/catalog/product/1882575", "Ознакомиться")</f>
        <v>Ознакомиться</v>
      </c>
      <c r="W146" s="8" t="s">
        <v>91</v>
      </c>
      <c r="X146" s="6" t="s">
        <v>1111</v>
      </c>
      <c r="Y146" s="6" t="s">
        <v>30</v>
      </c>
      <c r="Z146" s="6"/>
      <c r="AA146" s="6"/>
      <c r="AB146" s="6" t="s">
        <v>759</v>
      </c>
    </row>
    <row r="147" spans="1:28" s="4" customFormat="1" ht="51.95" customHeight="1">
      <c r="A147" s="5">
        <v>0</v>
      </c>
      <c r="B147" s="6" t="s">
        <v>1112</v>
      </c>
      <c r="C147" s="7">
        <v>1220</v>
      </c>
      <c r="D147" s="8" t="s">
        <v>1113</v>
      </c>
      <c r="E147" s="8" t="s">
        <v>1114</v>
      </c>
      <c r="F147" s="8" t="s">
        <v>1115</v>
      </c>
      <c r="G147" s="6" t="s">
        <v>38</v>
      </c>
      <c r="H147" s="6" t="s">
        <v>113</v>
      </c>
      <c r="I147" s="8" t="s">
        <v>40</v>
      </c>
      <c r="J147" s="9">
        <v>1</v>
      </c>
      <c r="K147" s="9">
        <v>318</v>
      </c>
      <c r="L147" s="9">
        <v>2022</v>
      </c>
      <c r="M147" s="8" t="s">
        <v>1116</v>
      </c>
      <c r="N147" s="8" t="s">
        <v>56</v>
      </c>
      <c r="O147" s="8" t="s">
        <v>104</v>
      </c>
      <c r="P147" s="6" t="s">
        <v>44</v>
      </c>
      <c r="Q147" s="8" t="s">
        <v>45</v>
      </c>
      <c r="R147" s="10" t="s">
        <v>1117</v>
      </c>
      <c r="S147" s="11" t="s">
        <v>47</v>
      </c>
      <c r="T147" s="6"/>
      <c r="U147" s="27" t="str">
        <f>HYPERLINK("https://media.infra-m.ru/1858/1858934/cover/1858934.jpg", "Обложка")</f>
        <v>Обложка</v>
      </c>
      <c r="V147" s="27" t="str">
        <f>HYPERLINK("https://znanium.ru/catalog/product/1858934", "Ознакомиться")</f>
        <v>Ознакомиться</v>
      </c>
      <c r="W147" s="8"/>
      <c r="X147" s="6"/>
      <c r="Y147" s="6" t="s">
        <v>30</v>
      </c>
      <c r="Z147" s="6"/>
      <c r="AA147" s="6"/>
      <c r="AB147" s="6" t="s">
        <v>571</v>
      </c>
    </row>
    <row r="148" spans="1:28" s="4" customFormat="1" ht="51.95" customHeight="1">
      <c r="A148" s="5">
        <v>0</v>
      </c>
      <c r="B148" s="6" t="s">
        <v>1118</v>
      </c>
      <c r="C148" s="7">
        <v>1174</v>
      </c>
      <c r="D148" s="8" t="s">
        <v>1119</v>
      </c>
      <c r="E148" s="8" t="s">
        <v>1120</v>
      </c>
      <c r="F148" s="8" t="s">
        <v>1121</v>
      </c>
      <c r="G148" s="6" t="s">
        <v>173</v>
      </c>
      <c r="H148" s="6" t="s">
        <v>39</v>
      </c>
      <c r="I148" s="8" t="s">
        <v>114</v>
      </c>
      <c r="J148" s="9">
        <v>1</v>
      </c>
      <c r="K148" s="9">
        <v>256</v>
      </c>
      <c r="L148" s="9">
        <v>2024</v>
      </c>
      <c r="M148" s="8" t="s">
        <v>1122</v>
      </c>
      <c r="N148" s="8" t="s">
        <v>137</v>
      </c>
      <c r="O148" s="8" t="s">
        <v>297</v>
      </c>
      <c r="P148" s="6" t="s">
        <v>58</v>
      </c>
      <c r="Q148" s="8" t="s">
        <v>45</v>
      </c>
      <c r="R148" s="10" t="s">
        <v>1123</v>
      </c>
      <c r="S148" s="11" t="s">
        <v>668</v>
      </c>
      <c r="T148" s="6"/>
      <c r="U148" s="27" t="str">
        <f>HYPERLINK("https://media.infra-m.ru/2104/2104120/cover/2104120.jpg", "Обложка")</f>
        <v>Обложка</v>
      </c>
      <c r="V148" s="27" t="str">
        <f>HYPERLINK("https://znanium.ru/catalog/product/1912054", "Ознакомиться")</f>
        <v>Ознакомиться</v>
      </c>
      <c r="W148" s="8" t="s">
        <v>1124</v>
      </c>
      <c r="X148" s="6"/>
      <c r="Y148" s="6" t="s">
        <v>30</v>
      </c>
      <c r="Z148" s="6"/>
      <c r="AA148" s="6"/>
      <c r="AB148" s="6" t="s">
        <v>471</v>
      </c>
    </row>
    <row r="149" spans="1:28" s="4" customFormat="1" ht="51.95" customHeight="1">
      <c r="A149" s="5">
        <v>0</v>
      </c>
      <c r="B149" s="6" t="s">
        <v>1125</v>
      </c>
      <c r="C149" s="7">
        <v>1350</v>
      </c>
      <c r="D149" s="8" t="s">
        <v>1126</v>
      </c>
      <c r="E149" s="8" t="s">
        <v>1127</v>
      </c>
      <c r="F149" s="8" t="s">
        <v>1128</v>
      </c>
      <c r="G149" s="6" t="s">
        <v>173</v>
      </c>
      <c r="H149" s="6" t="s">
        <v>54</v>
      </c>
      <c r="I149" s="8" t="s">
        <v>40</v>
      </c>
      <c r="J149" s="9">
        <v>1</v>
      </c>
      <c r="K149" s="9">
        <v>288</v>
      </c>
      <c r="L149" s="9">
        <v>2024</v>
      </c>
      <c r="M149" s="8" t="s">
        <v>1129</v>
      </c>
      <c r="N149" s="8" t="s">
        <v>137</v>
      </c>
      <c r="O149" s="8" t="s">
        <v>297</v>
      </c>
      <c r="P149" s="6" t="s">
        <v>58</v>
      </c>
      <c r="Q149" s="8" t="s">
        <v>45</v>
      </c>
      <c r="R149" s="10" t="s">
        <v>1123</v>
      </c>
      <c r="S149" s="11" t="s">
        <v>797</v>
      </c>
      <c r="T149" s="6"/>
      <c r="U149" s="27" t="str">
        <f>HYPERLINK("https://media.infra-m.ru/1912/1912054/cover/1912054.jpg", "Обложка")</f>
        <v>Обложка</v>
      </c>
      <c r="V149" s="27" t="str">
        <f>HYPERLINK("https://znanium.ru/catalog/product/1912054", "Ознакомиться")</f>
        <v>Ознакомиться</v>
      </c>
      <c r="W149" s="8" t="s">
        <v>1124</v>
      </c>
      <c r="X149" s="6" t="s">
        <v>1130</v>
      </c>
      <c r="Y149" s="6" t="s">
        <v>30</v>
      </c>
      <c r="Z149" s="6"/>
      <c r="AA149" s="6"/>
      <c r="AB149" s="6" t="s">
        <v>1131</v>
      </c>
    </row>
    <row r="150" spans="1:28" s="4" customFormat="1" ht="51.95" customHeight="1">
      <c r="A150" s="5">
        <v>0</v>
      </c>
      <c r="B150" s="6" t="s">
        <v>1132</v>
      </c>
      <c r="C150" s="7">
        <v>1634.9</v>
      </c>
      <c r="D150" s="8" t="s">
        <v>1133</v>
      </c>
      <c r="E150" s="8" t="s">
        <v>1134</v>
      </c>
      <c r="F150" s="8" t="s">
        <v>1135</v>
      </c>
      <c r="G150" s="6" t="s">
        <v>173</v>
      </c>
      <c r="H150" s="6" t="s">
        <v>54</v>
      </c>
      <c r="I150" s="8" t="s">
        <v>40</v>
      </c>
      <c r="J150" s="9">
        <v>1</v>
      </c>
      <c r="K150" s="9">
        <v>364</v>
      </c>
      <c r="L150" s="9">
        <v>2023</v>
      </c>
      <c r="M150" s="8" t="s">
        <v>1136</v>
      </c>
      <c r="N150" s="8" t="s">
        <v>56</v>
      </c>
      <c r="O150" s="8" t="s">
        <v>286</v>
      </c>
      <c r="P150" s="6" t="s">
        <v>44</v>
      </c>
      <c r="Q150" s="8" t="s">
        <v>45</v>
      </c>
      <c r="R150" s="10" t="s">
        <v>1137</v>
      </c>
      <c r="S150" s="11" t="s">
        <v>1138</v>
      </c>
      <c r="T150" s="6" t="s">
        <v>348</v>
      </c>
      <c r="U150" s="27" t="str">
        <f>HYPERLINK("https://media.infra-m.ru/1965/1965763/cover/1965763.jpg", "Обложка")</f>
        <v>Обложка</v>
      </c>
      <c r="V150" s="27" t="str">
        <f>HYPERLINK("https://znanium.ru/catalog/product/1010665", "Ознакомиться")</f>
        <v>Ознакомиться</v>
      </c>
      <c r="W150" s="8" t="s">
        <v>1139</v>
      </c>
      <c r="X150" s="6"/>
      <c r="Y150" s="6" t="s">
        <v>30</v>
      </c>
      <c r="Z150" s="6"/>
      <c r="AA150" s="6" t="s">
        <v>948</v>
      </c>
      <c r="AB150" s="6" t="s">
        <v>208</v>
      </c>
    </row>
    <row r="151" spans="1:28" s="4" customFormat="1" ht="51.95" customHeight="1">
      <c r="A151" s="5">
        <v>0</v>
      </c>
      <c r="B151" s="6" t="s">
        <v>1140</v>
      </c>
      <c r="C151" s="7">
        <v>2160</v>
      </c>
      <c r="D151" s="8" t="s">
        <v>1141</v>
      </c>
      <c r="E151" s="8" t="s">
        <v>1142</v>
      </c>
      <c r="F151" s="8" t="s">
        <v>1143</v>
      </c>
      <c r="G151" s="6" t="s">
        <v>38</v>
      </c>
      <c r="H151" s="6" t="s">
        <v>113</v>
      </c>
      <c r="I151" s="8" t="s">
        <v>40</v>
      </c>
      <c r="J151" s="9">
        <v>1</v>
      </c>
      <c r="K151" s="9">
        <v>480</v>
      </c>
      <c r="L151" s="9">
        <v>2023</v>
      </c>
      <c r="M151" s="8" t="s">
        <v>1144</v>
      </c>
      <c r="N151" s="8" t="s">
        <v>42</v>
      </c>
      <c r="O151" s="8" t="s">
        <v>1145</v>
      </c>
      <c r="P151" s="6" t="s">
        <v>44</v>
      </c>
      <c r="Q151" s="8" t="s">
        <v>45</v>
      </c>
      <c r="R151" s="10" t="s">
        <v>1146</v>
      </c>
      <c r="S151" s="11" t="s">
        <v>1147</v>
      </c>
      <c r="T151" s="6"/>
      <c r="U151" s="27" t="str">
        <f>HYPERLINK("https://media.infra-m.ru/1933/1933140/cover/1933140.jpg", "Обложка")</f>
        <v>Обложка</v>
      </c>
      <c r="V151" s="27" t="str">
        <f>HYPERLINK("https://znanium.ru/catalog/product/1933140", "Ознакомиться")</f>
        <v>Ознакомиться</v>
      </c>
      <c r="W151" s="8" t="s">
        <v>1148</v>
      </c>
      <c r="X151" s="6"/>
      <c r="Y151" s="6" t="s">
        <v>30</v>
      </c>
      <c r="Z151" s="6"/>
      <c r="AA151" s="6"/>
      <c r="AB151" s="6" t="s">
        <v>1149</v>
      </c>
    </row>
    <row r="152" spans="1:28" s="4" customFormat="1" ht="51.95" customHeight="1">
      <c r="A152" s="5">
        <v>0</v>
      </c>
      <c r="B152" s="6" t="s">
        <v>1150</v>
      </c>
      <c r="C152" s="13">
        <v>154.9</v>
      </c>
      <c r="D152" s="8" t="s">
        <v>1151</v>
      </c>
      <c r="E152" s="8" t="s">
        <v>1142</v>
      </c>
      <c r="F152" s="8" t="s">
        <v>1152</v>
      </c>
      <c r="G152" s="6" t="s">
        <v>76</v>
      </c>
      <c r="H152" s="6" t="s">
        <v>135</v>
      </c>
      <c r="I152" s="8"/>
      <c r="J152" s="9">
        <v>48</v>
      </c>
      <c r="K152" s="9">
        <v>90</v>
      </c>
      <c r="L152" s="9">
        <v>2018</v>
      </c>
      <c r="M152" s="8" t="s">
        <v>1153</v>
      </c>
      <c r="N152" s="8" t="s">
        <v>42</v>
      </c>
      <c r="O152" s="8" t="s">
        <v>1145</v>
      </c>
      <c r="P152" s="6" t="s">
        <v>58</v>
      </c>
      <c r="Q152" s="8" t="s">
        <v>88</v>
      </c>
      <c r="R152" s="10" t="s">
        <v>1154</v>
      </c>
      <c r="S152" s="11" t="s">
        <v>1155</v>
      </c>
      <c r="T152" s="6"/>
      <c r="U152" s="27" t="str">
        <f>HYPERLINK("https://media.infra-m.ru/0914/0914655/cover/914655.jpg", "Обложка")</f>
        <v>Обложка</v>
      </c>
      <c r="V152" s="27" t="str">
        <f>HYPERLINK("https://znanium.ru/catalog/product/914655", "Ознакомиться")</f>
        <v>Ознакомиться</v>
      </c>
      <c r="W152" s="8" t="s">
        <v>1156</v>
      </c>
      <c r="X152" s="6"/>
      <c r="Y152" s="6" t="s">
        <v>30</v>
      </c>
      <c r="Z152" s="6"/>
      <c r="AA152" s="6"/>
      <c r="AB152" s="6" t="s">
        <v>571</v>
      </c>
    </row>
    <row r="153" spans="1:28" s="4" customFormat="1" ht="51.95" customHeight="1">
      <c r="A153" s="5">
        <v>0</v>
      </c>
      <c r="B153" s="6" t="s">
        <v>1157</v>
      </c>
      <c r="C153" s="7">
        <v>1330</v>
      </c>
      <c r="D153" s="8" t="s">
        <v>1158</v>
      </c>
      <c r="E153" s="8" t="s">
        <v>1159</v>
      </c>
      <c r="F153" s="8" t="s">
        <v>1160</v>
      </c>
      <c r="G153" s="6" t="s">
        <v>38</v>
      </c>
      <c r="H153" s="6" t="s">
        <v>39</v>
      </c>
      <c r="I153" s="8" t="s">
        <v>40</v>
      </c>
      <c r="J153" s="9">
        <v>1</v>
      </c>
      <c r="K153" s="9">
        <v>288</v>
      </c>
      <c r="L153" s="9">
        <v>2024</v>
      </c>
      <c r="M153" s="8" t="s">
        <v>1161</v>
      </c>
      <c r="N153" s="8" t="s">
        <v>42</v>
      </c>
      <c r="O153" s="8" t="s">
        <v>1145</v>
      </c>
      <c r="P153" s="6" t="s">
        <v>58</v>
      </c>
      <c r="Q153" s="8" t="s">
        <v>45</v>
      </c>
      <c r="R153" s="10" t="s">
        <v>1162</v>
      </c>
      <c r="S153" s="11" t="s">
        <v>1163</v>
      </c>
      <c r="T153" s="6"/>
      <c r="U153" s="27" t="str">
        <f>HYPERLINK("https://media.infra-m.ru/2084/2084133/cover/2084133.jpg", "Обложка")</f>
        <v>Обложка</v>
      </c>
      <c r="V153" s="27" t="str">
        <f>HYPERLINK("https://znanium.ru/catalog/product/2084133", "Ознакомиться")</f>
        <v>Ознакомиться</v>
      </c>
      <c r="W153" s="8" t="s">
        <v>48</v>
      </c>
      <c r="X153" s="6"/>
      <c r="Y153" s="6" t="s">
        <v>30</v>
      </c>
      <c r="Z153" s="6"/>
      <c r="AA153" s="6"/>
      <c r="AB153" s="6" t="s">
        <v>49</v>
      </c>
    </row>
    <row r="154" spans="1:28" s="4" customFormat="1" ht="51.95" customHeight="1">
      <c r="A154" s="5">
        <v>0</v>
      </c>
      <c r="B154" s="6" t="s">
        <v>1164</v>
      </c>
      <c r="C154" s="7">
        <v>1360</v>
      </c>
      <c r="D154" s="8" t="s">
        <v>1165</v>
      </c>
      <c r="E154" s="8" t="s">
        <v>1166</v>
      </c>
      <c r="F154" s="8" t="s">
        <v>1167</v>
      </c>
      <c r="G154" s="6" t="s">
        <v>38</v>
      </c>
      <c r="H154" s="6" t="s">
        <v>229</v>
      </c>
      <c r="I154" s="8"/>
      <c r="J154" s="9">
        <v>1</v>
      </c>
      <c r="K154" s="9">
        <v>286</v>
      </c>
      <c r="L154" s="9">
        <v>2024</v>
      </c>
      <c r="M154" s="8" t="s">
        <v>1168</v>
      </c>
      <c r="N154" s="8" t="s">
        <v>56</v>
      </c>
      <c r="O154" s="8" t="s">
        <v>57</v>
      </c>
      <c r="P154" s="6" t="s">
        <v>44</v>
      </c>
      <c r="Q154" s="8" t="s">
        <v>45</v>
      </c>
      <c r="R154" s="10" t="s">
        <v>1169</v>
      </c>
      <c r="S154" s="11"/>
      <c r="T154" s="6"/>
      <c r="U154" s="27" t="str">
        <f>HYPERLINK("https://media.infra-m.ru/2143/2143458/cover/2143458.jpg", "Обложка")</f>
        <v>Обложка</v>
      </c>
      <c r="V154" s="27" t="str">
        <f>HYPERLINK("https://znanium.ru/catalog/product/1959236", "Ознакомиться")</f>
        <v>Ознакомиться</v>
      </c>
      <c r="W154" s="8" t="s">
        <v>258</v>
      </c>
      <c r="X154" s="6"/>
      <c r="Y154" s="6" t="s">
        <v>30</v>
      </c>
      <c r="Z154" s="6"/>
      <c r="AA154" s="6"/>
      <c r="AB154" s="6" t="s">
        <v>215</v>
      </c>
    </row>
    <row r="155" spans="1:28" s="4" customFormat="1" ht="42" customHeight="1">
      <c r="A155" s="5">
        <v>0</v>
      </c>
      <c r="B155" s="6" t="s">
        <v>1170</v>
      </c>
      <c r="C155" s="13">
        <v>714.9</v>
      </c>
      <c r="D155" s="8" t="s">
        <v>1171</v>
      </c>
      <c r="E155" s="8" t="s">
        <v>1172</v>
      </c>
      <c r="F155" s="8" t="s">
        <v>1173</v>
      </c>
      <c r="G155" s="6" t="s">
        <v>76</v>
      </c>
      <c r="H155" s="6" t="s">
        <v>1174</v>
      </c>
      <c r="I155" s="8"/>
      <c r="J155" s="9">
        <v>1</v>
      </c>
      <c r="K155" s="9">
        <v>144</v>
      </c>
      <c r="L155" s="9">
        <v>2023</v>
      </c>
      <c r="M155" s="8" t="s">
        <v>1175</v>
      </c>
      <c r="N155" s="8" t="s">
        <v>137</v>
      </c>
      <c r="O155" s="8" t="s">
        <v>1176</v>
      </c>
      <c r="P155" s="6" t="s">
        <v>1177</v>
      </c>
      <c r="Q155" s="8" t="s">
        <v>79</v>
      </c>
      <c r="R155" s="10" t="s">
        <v>1178</v>
      </c>
      <c r="S155" s="11"/>
      <c r="T155" s="6"/>
      <c r="U155" s="27" t="str">
        <f>HYPERLINK("https://media.infra-m.ru/1922/1922312/cover/1922312.jpg", "Обложка")</f>
        <v>Обложка</v>
      </c>
      <c r="V155" s="27" t="str">
        <f>HYPERLINK("https://znanium.ru/catalog/product/1922312", "Ознакомиться")</f>
        <v>Ознакомиться</v>
      </c>
      <c r="W155" s="8"/>
      <c r="X155" s="6"/>
      <c r="Y155" s="6" t="s">
        <v>30</v>
      </c>
      <c r="Z155" s="6"/>
      <c r="AA155" s="6"/>
      <c r="AB155" s="6" t="s">
        <v>215</v>
      </c>
    </row>
    <row r="156" spans="1:28" s="4" customFormat="1" ht="51.95" customHeight="1">
      <c r="A156" s="5">
        <v>0</v>
      </c>
      <c r="B156" s="6" t="s">
        <v>1179</v>
      </c>
      <c r="C156" s="7">
        <v>2490</v>
      </c>
      <c r="D156" s="8" t="s">
        <v>1180</v>
      </c>
      <c r="E156" s="8" t="s">
        <v>1172</v>
      </c>
      <c r="F156" s="8" t="s">
        <v>1181</v>
      </c>
      <c r="G156" s="6" t="s">
        <v>38</v>
      </c>
      <c r="H156" s="6" t="s">
        <v>54</v>
      </c>
      <c r="I156" s="8" t="s">
        <v>40</v>
      </c>
      <c r="J156" s="9">
        <v>1</v>
      </c>
      <c r="K156" s="9">
        <v>639</v>
      </c>
      <c r="L156" s="9">
        <v>2023</v>
      </c>
      <c r="M156" s="8" t="s">
        <v>1182</v>
      </c>
      <c r="N156" s="8" t="s">
        <v>137</v>
      </c>
      <c r="O156" s="8" t="s">
        <v>1176</v>
      </c>
      <c r="P156" s="6" t="s">
        <v>44</v>
      </c>
      <c r="Q156" s="8" t="s">
        <v>45</v>
      </c>
      <c r="R156" s="10" t="s">
        <v>1183</v>
      </c>
      <c r="S156" s="11" t="s">
        <v>1184</v>
      </c>
      <c r="T156" s="6"/>
      <c r="U156" s="27" t="str">
        <f>HYPERLINK("https://media.infra-m.ru/1922/1922314/cover/1922314.jpg", "Обложка")</f>
        <v>Обложка</v>
      </c>
      <c r="V156" s="27" t="str">
        <f>HYPERLINK("https://znanium.ru/catalog/product/1922314", "Ознакомиться")</f>
        <v>Ознакомиться</v>
      </c>
      <c r="W156" s="8" t="s">
        <v>470</v>
      </c>
      <c r="X156" s="6"/>
      <c r="Y156" s="6" t="s">
        <v>30</v>
      </c>
      <c r="Z156" s="6"/>
      <c r="AA156" s="6" t="s">
        <v>71</v>
      </c>
      <c r="AB156" s="6" t="s">
        <v>300</v>
      </c>
    </row>
    <row r="157" spans="1:28" s="4" customFormat="1" ht="51.95" customHeight="1">
      <c r="A157" s="5">
        <v>0</v>
      </c>
      <c r="B157" s="6" t="s">
        <v>1185</v>
      </c>
      <c r="C157" s="7">
        <v>2260</v>
      </c>
      <c r="D157" s="8" t="s">
        <v>1186</v>
      </c>
      <c r="E157" s="8" t="s">
        <v>1187</v>
      </c>
      <c r="F157" s="8" t="s">
        <v>1188</v>
      </c>
      <c r="G157" s="6" t="s">
        <v>173</v>
      </c>
      <c r="H157" s="6" t="s">
        <v>54</v>
      </c>
      <c r="I157" s="8" t="s">
        <v>40</v>
      </c>
      <c r="J157" s="9">
        <v>1</v>
      </c>
      <c r="K157" s="9">
        <v>480</v>
      </c>
      <c r="L157" s="9">
        <v>2024</v>
      </c>
      <c r="M157" s="8" t="s">
        <v>1189</v>
      </c>
      <c r="N157" s="8" t="s">
        <v>56</v>
      </c>
      <c r="O157" s="8" t="s">
        <v>593</v>
      </c>
      <c r="P157" s="6" t="s">
        <v>44</v>
      </c>
      <c r="Q157" s="8" t="s">
        <v>45</v>
      </c>
      <c r="R157" s="10" t="s">
        <v>1190</v>
      </c>
      <c r="S157" s="11" t="s">
        <v>1078</v>
      </c>
      <c r="T157" s="6"/>
      <c r="U157" s="27" t="str">
        <f>HYPERLINK("https://media.infra-m.ru/2143/2143708/cover/2143708.jpg", "Обложка")</f>
        <v>Обложка</v>
      </c>
      <c r="V157" s="27" t="str">
        <f>HYPERLINK("https://znanium.ru/catalog/product/2143708", "Ознакомиться")</f>
        <v>Ознакомиться</v>
      </c>
      <c r="W157" s="8" t="s">
        <v>1191</v>
      </c>
      <c r="X157" s="6"/>
      <c r="Y157" s="6" t="s">
        <v>30</v>
      </c>
      <c r="Z157" s="6"/>
      <c r="AA157" s="6"/>
      <c r="AB157" s="6" t="s">
        <v>833</v>
      </c>
    </row>
    <row r="158" spans="1:28" s="4" customFormat="1" ht="42" customHeight="1">
      <c r="A158" s="5">
        <v>0</v>
      </c>
      <c r="B158" s="6" t="s">
        <v>1192</v>
      </c>
      <c r="C158" s="13">
        <v>740</v>
      </c>
      <c r="D158" s="8" t="s">
        <v>1193</v>
      </c>
      <c r="E158" s="8" t="s">
        <v>1194</v>
      </c>
      <c r="F158" s="8" t="s">
        <v>1195</v>
      </c>
      <c r="G158" s="6" t="s">
        <v>76</v>
      </c>
      <c r="H158" s="6" t="s">
        <v>135</v>
      </c>
      <c r="I158" s="8" t="s">
        <v>1196</v>
      </c>
      <c r="J158" s="9">
        <v>1</v>
      </c>
      <c r="K158" s="9">
        <v>149</v>
      </c>
      <c r="L158" s="9">
        <v>2023</v>
      </c>
      <c r="M158" s="8" t="s">
        <v>1197</v>
      </c>
      <c r="N158" s="8" t="s">
        <v>137</v>
      </c>
      <c r="O158" s="8" t="s">
        <v>1198</v>
      </c>
      <c r="P158" s="6" t="s">
        <v>897</v>
      </c>
      <c r="Q158" s="8" t="s">
        <v>397</v>
      </c>
      <c r="R158" s="10" t="s">
        <v>1199</v>
      </c>
      <c r="S158" s="11"/>
      <c r="T158" s="6" t="s">
        <v>348</v>
      </c>
      <c r="U158" s="27" t="str">
        <f>HYPERLINK("https://media.infra-m.ru/2124/2124928/cover/2124928.jpg", "Обложка")</f>
        <v>Обложка</v>
      </c>
      <c r="V158" s="27" t="str">
        <f>HYPERLINK("https://znanium.ru/catalog/product/2124928", "Ознакомиться")</f>
        <v>Ознакомиться</v>
      </c>
      <c r="W158" s="8" t="s">
        <v>1200</v>
      </c>
      <c r="X158" s="6"/>
      <c r="Y158" s="6" t="s">
        <v>30</v>
      </c>
      <c r="Z158" s="6"/>
      <c r="AA158" s="6"/>
      <c r="AB158" s="6" t="s">
        <v>535</v>
      </c>
    </row>
    <row r="159" spans="1:28" s="4" customFormat="1" ht="42" customHeight="1">
      <c r="A159" s="5">
        <v>0</v>
      </c>
      <c r="B159" s="6" t="s">
        <v>1201</v>
      </c>
      <c r="C159" s="13">
        <v>520</v>
      </c>
      <c r="D159" s="8" t="s">
        <v>1202</v>
      </c>
      <c r="E159" s="8" t="s">
        <v>1203</v>
      </c>
      <c r="F159" s="8" t="s">
        <v>1195</v>
      </c>
      <c r="G159" s="6" t="s">
        <v>76</v>
      </c>
      <c r="H159" s="6" t="s">
        <v>135</v>
      </c>
      <c r="I159" s="8" t="s">
        <v>1196</v>
      </c>
      <c r="J159" s="9">
        <v>1</v>
      </c>
      <c r="K159" s="9">
        <v>138</v>
      </c>
      <c r="L159" s="9">
        <v>2021</v>
      </c>
      <c r="M159" s="8" t="s">
        <v>1204</v>
      </c>
      <c r="N159" s="8" t="s">
        <v>137</v>
      </c>
      <c r="O159" s="8" t="s">
        <v>1198</v>
      </c>
      <c r="P159" s="6" t="s">
        <v>897</v>
      </c>
      <c r="Q159" s="8" t="s">
        <v>397</v>
      </c>
      <c r="R159" s="10" t="s">
        <v>1199</v>
      </c>
      <c r="S159" s="11"/>
      <c r="T159" s="6" t="s">
        <v>348</v>
      </c>
      <c r="U159" s="27" t="str">
        <f>HYPERLINK("https://media.infra-m.ru/1215/1215351/cover/1215351.jpg", "Обложка")</f>
        <v>Обложка</v>
      </c>
      <c r="V159" s="27" t="str">
        <f>HYPERLINK("https://znanium.ru/catalog/product/2124928", "Ознакомиться")</f>
        <v>Ознакомиться</v>
      </c>
      <c r="W159" s="8" t="s">
        <v>1200</v>
      </c>
      <c r="X159" s="6"/>
      <c r="Y159" s="6" t="s">
        <v>30</v>
      </c>
      <c r="Z159" s="6"/>
      <c r="AA159" s="6"/>
      <c r="AB159" s="6" t="s">
        <v>130</v>
      </c>
    </row>
    <row r="160" spans="1:28" s="4" customFormat="1" ht="42" customHeight="1">
      <c r="A160" s="5">
        <v>0</v>
      </c>
      <c r="B160" s="6" t="s">
        <v>1205</v>
      </c>
      <c r="C160" s="13">
        <v>700</v>
      </c>
      <c r="D160" s="8" t="s">
        <v>1206</v>
      </c>
      <c r="E160" s="8" t="s">
        <v>1207</v>
      </c>
      <c r="F160" s="8" t="s">
        <v>1195</v>
      </c>
      <c r="G160" s="6" t="s">
        <v>76</v>
      </c>
      <c r="H160" s="6" t="s">
        <v>135</v>
      </c>
      <c r="I160" s="8" t="s">
        <v>1196</v>
      </c>
      <c r="J160" s="9">
        <v>1</v>
      </c>
      <c r="K160" s="9">
        <v>156</v>
      </c>
      <c r="L160" s="9">
        <v>2022</v>
      </c>
      <c r="M160" s="8" t="s">
        <v>1208</v>
      </c>
      <c r="N160" s="8" t="s">
        <v>137</v>
      </c>
      <c r="O160" s="8" t="s">
        <v>1198</v>
      </c>
      <c r="P160" s="6" t="s">
        <v>897</v>
      </c>
      <c r="Q160" s="8" t="s">
        <v>397</v>
      </c>
      <c r="R160" s="10" t="s">
        <v>1199</v>
      </c>
      <c r="S160" s="11"/>
      <c r="T160" s="6" t="s">
        <v>348</v>
      </c>
      <c r="U160" s="27" t="str">
        <f>HYPERLINK("https://media.infra-m.ru/1946/1946421/cover/1946421.jpg", "Обложка")</f>
        <v>Обложка</v>
      </c>
      <c r="V160" s="27" t="str">
        <f>HYPERLINK("https://znanium.ru/catalog/product/2124928", "Ознакомиться")</f>
        <v>Ознакомиться</v>
      </c>
      <c r="W160" s="8" t="s">
        <v>1200</v>
      </c>
      <c r="X160" s="6"/>
      <c r="Y160" s="6" t="s">
        <v>30</v>
      </c>
      <c r="Z160" s="6"/>
      <c r="AA160" s="6"/>
      <c r="AB160" s="6" t="s">
        <v>1209</v>
      </c>
    </row>
    <row r="161" spans="1:28" s="4" customFormat="1" ht="42" customHeight="1">
      <c r="A161" s="5">
        <v>0</v>
      </c>
      <c r="B161" s="6" t="s">
        <v>1210</v>
      </c>
      <c r="C161" s="13">
        <v>424.9</v>
      </c>
      <c r="D161" s="8" t="s">
        <v>1211</v>
      </c>
      <c r="E161" s="8" t="s">
        <v>1212</v>
      </c>
      <c r="F161" s="8" t="s">
        <v>1195</v>
      </c>
      <c r="G161" s="6" t="s">
        <v>76</v>
      </c>
      <c r="H161" s="6" t="s">
        <v>135</v>
      </c>
      <c r="I161" s="8" t="s">
        <v>1196</v>
      </c>
      <c r="J161" s="9">
        <v>1</v>
      </c>
      <c r="K161" s="9">
        <v>137</v>
      </c>
      <c r="L161" s="9">
        <v>2018</v>
      </c>
      <c r="M161" s="8" t="s">
        <v>1213</v>
      </c>
      <c r="N161" s="8" t="s">
        <v>137</v>
      </c>
      <c r="O161" s="8" t="s">
        <v>1198</v>
      </c>
      <c r="P161" s="6" t="s">
        <v>897</v>
      </c>
      <c r="Q161" s="8" t="s">
        <v>397</v>
      </c>
      <c r="R161" s="10" t="s">
        <v>1199</v>
      </c>
      <c r="S161" s="11"/>
      <c r="T161" s="6"/>
      <c r="U161" s="27" t="str">
        <f>HYPERLINK("https://media.infra-m.ru/0982/0982779/cover/982779.jpg", "Обложка")</f>
        <v>Обложка</v>
      </c>
      <c r="V161" s="27" t="str">
        <f>HYPERLINK("https://znanium.ru/catalog/product/2124928", "Ознакомиться")</f>
        <v>Ознакомиться</v>
      </c>
      <c r="W161" s="8" t="s">
        <v>1200</v>
      </c>
      <c r="X161" s="6"/>
      <c r="Y161" s="6" t="s">
        <v>30</v>
      </c>
      <c r="Z161" s="6"/>
      <c r="AA161" s="6"/>
      <c r="AB161" s="6" t="s">
        <v>356</v>
      </c>
    </row>
    <row r="162" spans="1:28" s="4" customFormat="1" ht="51.95" customHeight="1">
      <c r="A162" s="5">
        <v>0</v>
      </c>
      <c r="B162" s="6" t="s">
        <v>1214</v>
      </c>
      <c r="C162" s="13">
        <v>980</v>
      </c>
      <c r="D162" s="8" t="s">
        <v>1215</v>
      </c>
      <c r="E162" s="8" t="s">
        <v>1203</v>
      </c>
      <c r="F162" s="8" t="s">
        <v>1216</v>
      </c>
      <c r="G162" s="6" t="s">
        <v>38</v>
      </c>
      <c r="H162" s="6" t="s">
        <v>54</v>
      </c>
      <c r="I162" s="8" t="s">
        <v>247</v>
      </c>
      <c r="J162" s="9">
        <v>1</v>
      </c>
      <c r="K162" s="9">
        <v>212</v>
      </c>
      <c r="L162" s="9">
        <v>2024</v>
      </c>
      <c r="M162" s="8" t="s">
        <v>1217</v>
      </c>
      <c r="N162" s="8" t="s">
        <v>137</v>
      </c>
      <c r="O162" s="8" t="s">
        <v>1198</v>
      </c>
      <c r="P162" s="6" t="s">
        <v>44</v>
      </c>
      <c r="Q162" s="8" t="s">
        <v>79</v>
      </c>
      <c r="R162" s="10" t="s">
        <v>1218</v>
      </c>
      <c r="S162" s="11" t="s">
        <v>1219</v>
      </c>
      <c r="T162" s="6"/>
      <c r="U162" s="27" t="str">
        <f>HYPERLINK("https://media.infra-m.ru/2084/2084656/cover/2084656.jpg", "Обложка")</f>
        <v>Обложка</v>
      </c>
      <c r="V162" s="27" t="str">
        <f>HYPERLINK("https://znanium.ru/catalog/product/2084656", "Ознакомиться")</f>
        <v>Ознакомиться</v>
      </c>
      <c r="W162" s="8" t="s">
        <v>91</v>
      </c>
      <c r="X162" s="6"/>
      <c r="Y162" s="6" t="s">
        <v>30</v>
      </c>
      <c r="Z162" s="6"/>
      <c r="AA162" s="6" t="s">
        <v>1220</v>
      </c>
      <c r="AB162" s="6" t="s">
        <v>685</v>
      </c>
    </row>
    <row r="163" spans="1:28" s="4" customFormat="1" ht="51.95" customHeight="1">
      <c r="A163" s="5">
        <v>0</v>
      </c>
      <c r="B163" s="6" t="s">
        <v>1221</v>
      </c>
      <c r="C163" s="7">
        <v>1000</v>
      </c>
      <c r="D163" s="8" t="s">
        <v>1222</v>
      </c>
      <c r="E163" s="8" t="s">
        <v>1203</v>
      </c>
      <c r="F163" s="8" t="s">
        <v>1216</v>
      </c>
      <c r="G163" s="6" t="s">
        <v>38</v>
      </c>
      <c r="H163" s="6" t="s">
        <v>54</v>
      </c>
      <c r="I163" s="8" t="s">
        <v>40</v>
      </c>
      <c r="J163" s="9">
        <v>1</v>
      </c>
      <c r="K163" s="9">
        <v>212</v>
      </c>
      <c r="L163" s="9">
        <v>2024</v>
      </c>
      <c r="M163" s="8" t="s">
        <v>1223</v>
      </c>
      <c r="N163" s="8" t="s">
        <v>137</v>
      </c>
      <c r="O163" s="8" t="s">
        <v>1198</v>
      </c>
      <c r="P163" s="6" t="s">
        <v>44</v>
      </c>
      <c r="Q163" s="8" t="s">
        <v>45</v>
      </c>
      <c r="R163" s="10" t="s">
        <v>1224</v>
      </c>
      <c r="S163" s="11" t="s">
        <v>1225</v>
      </c>
      <c r="T163" s="6"/>
      <c r="U163" s="27" t="str">
        <f>HYPERLINK("https://media.infra-m.ru/2139/2139314/cover/2139314.jpg", "Обложка")</f>
        <v>Обложка</v>
      </c>
      <c r="V163" s="27" t="str">
        <f>HYPERLINK("https://znanium.ru/catalog/product/2139314", "Ознакомиться")</f>
        <v>Ознакомиться</v>
      </c>
      <c r="W163" s="8" t="s">
        <v>91</v>
      </c>
      <c r="X163" s="6"/>
      <c r="Y163" s="6" t="s">
        <v>30</v>
      </c>
      <c r="Z163" s="6"/>
      <c r="AA163" s="6"/>
      <c r="AB163" s="6" t="s">
        <v>685</v>
      </c>
    </row>
    <row r="164" spans="1:28" s="4" customFormat="1" ht="51.95" customHeight="1">
      <c r="A164" s="5">
        <v>0</v>
      </c>
      <c r="B164" s="6" t="s">
        <v>1226</v>
      </c>
      <c r="C164" s="7">
        <v>1020</v>
      </c>
      <c r="D164" s="8" t="s">
        <v>1227</v>
      </c>
      <c r="E164" s="8" t="s">
        <v>1212</v>
      </c>
      <c r="F164" s="8" t="s">
        <v>1216</v>
      </c>
      <c r="G164" s="6" t="s">
        <v>38</v>
      </c>
      <c r="H164" s="6" t="s">
        <v>39</v>
      </c>
      <c r="I164" s="8" t="s">
        <v>40</v>
      </c>
      <c r="J164" s="9">
        <v>1</v>
      </c>
      <c r="K164" s="9">
        <v>298</v>
      </c>
      <c r="L164" s="9">
        <v>2020</v>
      </c>
      <c r="M164" s="8" t="s">
        <v>1228</v>
      </c>
      <c r="N164" s="8" t="s">
        <v>137</v>
      </c>
      <c r="O164" s="8" t="s">
        <v>1198</v>
      </c>
      <c r="P164" s="6" t="s">
        <v>58</v>
      </c>
      <c r="Q164" s="8" t="s">
        <v>45</v>
      </c>
      <c r="R164" s="10" t="s">
        <v>1224</v>
      </c>
      <c r="S164" s="11" t="s">
        <v>1229</v>
      </c>
      <c r="T164" s="6"/>
      <c r="U164" s="27" t="str">
        <f>HYPERLINK("https://media.infra-m.ru/1096/1096998/cover/1096998.jpg", "Обложка")</f>
        <v>Обложка</v>
      </c>
      <c r="V164" s="27" t="str">
        <f>HYPERLINK("https://znanium.ru/catalog/product/2139314", "Ознакомиться")</f>
        <v>Ознакомиться</v>
      </c>
      <c r="W164" s="8" t="s">
        <v>91</v>
      </c>
      <c r="X164" s="6"/>
      <c r="Y164" s="6" t="s">
        <v>30</v>
      </c>
      <c r="Z164" s="6"/>
      <c r="AA164" s="6"/>
      <c r="AB164" s="6" t="s">
        <v>356</v>
      </c>
    </row>
    <row r="165" spans="1:28" s="4" customFormat="1" ht="51.95" customHeight="1">
      <c r="A165" s="5">
        <v>0</v>
      </c>
      <c r="B165" s="6" t="s">
        <v>1230</v>
      </c>
      <c r="C165" s="7">
        <v>2260</v>
      </c>
      <c r="D165" s="8" t="s">
        <v>1231</v>
      </c>
      <c r="E165" s="8" t="s">
        <v>1232</v>
      </c>
      <c r="F165" s="8" t="s">
        <v>1233</v>
      </c>
      <c r="G165" s="6" t="s">
        <v>173</v>
      </c>
      <c r="H165" s="6" t="s">
        <v>54</v>
      </c>
      <c r="I165" s="8" t="s">
        <v>247</v>
      </c>
      <c r="J165" s="9">
        <v>1</v>
      </c>
      <c r="K165" s="9">
        <v>490</v>
      </c>
      <c r="L165" s="9">
        <v>2024</v>
      </c>
      <c r="M165" s="8" t="s">
        <v>1234</v>
      </c>
      <c r="N165" s="8" t="s">
        <v>264</v>
      </c>
      <c r="O165" s="8" t="s">
        <v>371</v>
      </c>
      <c r="P165" s="6" t="s">
        <v>44</v>
      </c>
      <c r="Q165" s="8" t="s">
        <v>88</v>
      </c>
      <c r="R165" s="10" t="s">
        <v>1235</v>
      </c>
      <c r="S165" s="11" t="s">
        <v>1236</v>
      </c>
      <c r="T165" s="6"/>
      <c r="U165" s="27" t="str">
        <f>HYPERLINK("https://media.infra-m.ru/2122/2122967/cover/2122967.jpg", "Обложка")</f>
        <v>Обложка</v>
      </c>
      <c r="V165" s="27" t="str">
        <f>HYPERLINK("https://znanium.ru/catalog/product/2122967", "Ознакомиться")</f>
        <v>Ознакомиться</v>
      </c>
      <c r="W165" s="8" t="s">
        <v>989</v>
      </c>
      <c r="X165" s="6"/>
      <c r="Y165" s="6" t="s">
        <v>30</v>
      </c>
      <c r="Z165" s="6"/>
      <c r="AA165" s="6"/>
      <c r="AB165" s="6" t="s">
        <v>1237</v>
      </c>
    </row>
    <row r="166" spans="1:28" s="4" customFormat="1" ht="51.95" customHeight="1">
      <c r="A166" s="5">
        <v>0</v>
      </c>
      <c r="B166" s="6" t="s">
        <v>1238</v>
      </c>
      <c r="C166" s="7">
        <v>1844</v>
      </c>
      <c r="D166" s="8" t="s">
        <v>1239</v>
      </c>
      <c r="E166" s="8" t="s">
        <v>1240</v>
      </c>
      <c r="F166" s="8" t="s">
        <v>1241</v>
      </c>
      <c r="G166" s="6" t="s">
        <v>173</v>
      </c>
      <c r="H166" s="6" t="s">
        <v>39</v>
      </c>
      <c r="I166" s="8" t="s">
        <v>77</v>
      </c>
      <c r="J166" s="9">
        <v>1</v>
      </c>
      <c r="K166" s="9">
        <v>400</v>
      </c>
      <c r="L166" s="9">
        <v>2023</v>
      </c>
      <c r="M166" s="8" t="s">
        <v>1242</v>
      </c>
      <c r="N166" s="8" t="s">
        <v>56</v>
      </c>
      <c r="O166" s="8" t="s">
        <v>286</v>
      </c>
      <c r="P166" s="6" t="s">
        <v>58</v>
      </c>
      <c r="Q166" s="8" t="s">
        <v>79</v>
      </c>
      <c r="R166" s="10" t="s">
        <v>1243</v>
      </c>
      <c r="S166" s="11" t="s">
        <v>1244</v>
      </c>
      <c r="T166" s="6"/>
      <c r="U166" s="27" t="str">
        <f>HYPERLINK("https://media.infra-m.ru/2074/2074387/cover/2074387.jpg", "Обложка")</f>
        <v>Обложка</v>
      </c>
      <c r="V166" s="27" t="str">
        <f>HYPERLINK("https://znanium.ru/catalog/product/497601", "Ознакомиться")</f>
        <v>Ознакомиться</v>
      </c>
      <c r="W166" s="8" t="s">
        <v>91</v>
      </c>
      <c r="X166" s="6"/>
      <c r="Y166" s="6" t="s">
        <v>30</v>
      </c>
      <c r="Z166" s="6"/>
      <c r="AA166" s="6"/>
      <c r="AB166" s="6" t="s">
        <v>98</v>
      </c>
    </row>
    <row r="167" spans="1:28" s="4" customFormat="1" ht="51.95" customHeight="1">
      <c r="A167" s="5">
        <v>0</v>
      </c>
      <c r="B167" s="6" t="s">
        <v>1245</v>
      </c>
      <c r="C167" s="7">
        <v>1000</v>
      </c>
      <c r="D167" s="8" t="s">
        <v>1246</v>
      </c>
      <c r="E167" s="8" t="s">
        <v>1247</v>
      </c>
      <c r="F167" s="8" t="s">
        <v>1248</v>
      </c>
      <c r="G167" s="6" t="s">
        <v>38</v>
      </c>
      <c r="H167" s="6" t="s">
        <v>135</v>
      </c>
      <c r="I167" s="8" t="s">
        <v>114</v>
      </c>
      <c r="J167" s="9">
        <v>1</v>
      </c>
      <c r="K167" s="9">
        <v>221</v>
      </c>
      <c r="L167" s="9">
        <v>2022</v>
      </c>
      <c r="M167" s="8" t="s">
        <v>1249</v>
      </c>
      <c r="N167" s="8" t="s">
        <v>137</v>
      </c>
      <c r="O167" s="8" t="s">
        <v>1198</v>
      </c>
      <c r="P167" s="6" t="s">
        <v>44</v>
      </c>
      <c r="Q167" s="8" t="s">
        <v>45</v>
      </c>
      <c r="R167" s="10" t="s">
        <v>1250</v>
      </c>
      <c r="S167" s="11" t="s">
        <v>47</v>
      </c>
      <c r="T167" s="6"/>
      <c r="U167" s="27" t="str">
        <f>HYPERLINK("https://media.infra-m.ru/1920/1920494/cover/1920494.jpg", "Обложка")</f>
        <v>Обложка</v>
      </c>
      <c r="V167" s="27" t="str">
        <f>HYPERLINK("https://znanium.ru/catalog/product/2085098", "Ознакомиться")</f>
        <v>Ознакомиться</v>
      </c>
      <c r="W167" s="8" t="s">
        <v>1251</v>
      </c>
      <c r="X167" s="6"/>
      <c r="Y167" s="6" t="s">
        <v>30</v>
      </c>
      <c r="Z167" s="6"/>
      <c r="AA167" s="6"/>
      <c r="AB167" s="6" t="s">
        <v>1252</v>
      </c>
    </row>
    <row r="168" spans="1:28" s="4" customFormat="1" ht="51.95" customHeight="1">
      <c r="A168" s="5">
        <v>0</v>
      </c>
      <c r="B168" s="6" t="s">
        <v>1253</v>
      </c>
      <c r="C168" s="7">
        <v>1100</v>
      </c>
      <c r="D168" s="8" t="s">
        <v>1254</v>
      </c>
      <c r="E168" s="8" t="s">
        <v>1255</v>
      </c>
      <c r="F168" s="8" t="s">
        <v>1248</v>
      </c>
      <c r="G168" s="6" t="s">
        <v>38</v>
      </c>
      <c r="H168" s="6" t="s">
        <v>135</v>
      </c>
      <c r="I168" s="8" t="s">
        <v>114</v>
      </c>
      <c r="J168" s="9">
        <v>1</v>
      </c>
      <c r="K168" s="9">
        <v>212</v>
      </c>
      <c r="L168" s="9">
        <v>2024</v>
      </c>
      <c r="M168" s="8" t="s">
        <v>1256</v>
      </c>
      <c r="N168" s="8" t="s">
        <v>137</v>
      </c>
      <c r="O168" s="8" t="s">
        <v>1198</v>
      </c>
      <c r="P168" s="6" t="s">
        <v>44</v>
      </c>
      <c r="Q168" s="8" t="s">
        <v>45</v>
      </c>
      <c r="R168" s="10" t="s">
        <v>1250</v>
      </c>
      <c r="S168" s="11" t="s">
        <v>47</v>
      </c>
      <c r="T168" s="6"/>
      <c r="U168" s="27" t="str">
        <f>HYPERLINK("https://media.infra-m.ru/2085/2085098/cover/2085098.jpg", "Обложка")</f>
        <v>Обложка</v>
      </c>
      <c r="V168" s="27" t="str">
        <f>HYPERLINK("https://znanium.ru/catalog/product/2085098", "Ознакомиться")</f>
        <v>Ознакомиться</v>
      </c>
      <c r="W168" s="8" t="s">
        <v>1251</v>
      </c>
      <c r="X168" s="6" t="s">
        <v>1257</v>
      </c>
      <c r="Y168" s="6" t="s">
        <v>30</v>
      </c>
      <c r="Z168" s="6"/>
      <c r="AA168" s="6"/>
      <c r="AB168" s="6" t="s">
        <v>1258</v>
      </c>
    </row>
    <row r="169" spans="1:28" s="4" customFormat="1" ht="51.95" customHeight="1">
      <c r="A169" s="5">
        <v>0</v>
      </c>
      <c r="B169" s="6" t="s">
        <v>1259</v>
      </c>
      <c r="C169" s="7">
        <v>1714</v>
      </c>
      <c r="D169" s="8" t="s">
        <v>1260</v>
      </c>
      <c r="E169" s="8" t="s">
        <v>1261</v>
      </c>
      <c r="F169" s="8" t="s">
        <v>1262</v>
      </c>
      <c r="G169" s="6" t="s">
        <v>38</v>
      </c>
      <c r="H169" s="6" t="s">
        <v>113</v>
      </c>
      <c r="I169" s="8" t="s">
        <v>40</v>
      </c>
      <c r="J169" s="9">
        <v>1</v>
      </c>
      <c r="K169" s="9">
        <v>364</v>
      </c>
      <c r="L169" s="9">
        <v>2024</v>
      </c>
      <c r="M169" s="8" t="s">
        <v>1263</v>
      </c>
      <c r="N169" s="8" t="s">
        <v>137</v>
      </c>
      <c r="O169" s="8" t="s">
        <v>1198</v>
      </c>
      <c r="P169" s="6" t="s">
        <v>44</v>
      </c>
      <c r="Q169" s="8" t="s">
        <v>45</v>
      </c>
      <c r="R169" s="10" t="s">
        <v>1264</v>
      </c>
      <c r="S169" s="11" t="s">
        <v>1265</v>
      </c>
      <c r="T169" s="6"/>
      <c r="U169" s="27" t="str">
        <f>HYPERLINK("https://media.infra-m.ru/2145/2145079/cover/2145079.jpg", "Обложка")</f>
        <v>Обложка</v>
      </c>
      <c r="V169" s="27" t="str">
        <f>HYPERLINK("https://znanium.ru/catalog/product/1865357", "Ознакомиться")</f>
        <v>Ознакомиться</v>
      </c>
      <c r="W169" s="8" t="s">
        <v>1266</v>
      </c>
      <c r="X169" s="6"/>
      <c r="Y169" s="6" t="s">
        <v>30</v>
      </c>
      <c r="Z169" s="6"/>
      <c r="AA169" s="6"/>
      <c r="AB169" s="6" t="s">
        <v>150</v>
      </c>
    </row>
    <row r="170" spans="1:28" s="4" customFormat="1" ht="42" customHeight="1">
      <c r="A170" s="5">
        <v>0</v>
      </c>
      <c r="B170" s="6" t="s">
        <v>1267</v>
      </c>
      <c r="C170" s="7">
        <v>1400</v>
      </c>
      <c r="D170" s="8" t="s">
        <v>1268</v>
      </c>
      <c r="E170" s="8" t="s">
        <v>1269</v>
      </c>
      <c r="F170" s="8" t="s">
        <v>1270</v>
      </c>
      <c r="G170" s="6" t="s">
        <v>38</v>
      </c>
      <c r="H170" s="6" t="s">
        <v>135</v>
      </c>
      <c r="I170" s="8" t="s">
        <v>247</v>
      </c>
      <c r="J170" s="9">
        <v>1</v>
      </c>
      <c r="K170" s="9">
        <v>311</v>
      </c>
      <c r="L170" s="9">
        <v>2023</v>
      </c>
      <c r="M170" s="8" t="s">
        <v>1271</v>
      </c>
      <c r="N170" s="8" t="s">
        <v>137</v>
      </c>
      <c r="O170" s="8" t="s">
        <v>1198</v>
      </c>
      <c r="P170" s="6" t="s">
        <v>44</v>
      </c>
      <c r="Q170" s="8" t="s">
        <v>79</v>
      </c>
      <c r="R170" s="10" t="s">
        <v>1272</v>
      </c>
      <c r="S170" s="11"/>
      <c r="T170" s="6"/>
      <c r="U170" s="27" t="str">
        <f>HYPERLINK("https://media.infra-m.ru/1916/1916398/cover/1916398.jpg", "Обложка")</f>
        <v>Обложка</v>
      </c>
      <c r="V170" s="27" t="str">
        <f>HYPERLINK("https://znanium.ru/catalog/product/1916398", "Ознакомиться")</f>
        <v>Ознакомиться</v>
      </c>
      <c r="W170" s="8" t="s">
        <v>1273</v>
      </c>
      <c r="X170" s="6"/>
      <c r="Y170" s="6" t="s">
        <v>30</v>
      </c>
      <c r="Z170" s="6"/>
      <c r="AA170" s="6"/>
      <c r="AB170" s="6" t="s">
        <v>108</v>
      </c>
    </row>
    <row r="171" spans="1:28" s="4" customFormat="1" ht="44.1" customHeight="1">
      <c r="A171" s="5">
        <v>0</v>
      </c>
      <c r="B171" s="6" t="s">
        <v>1274</v>
      </c>
      <c r="C171" s="13">
        <v>594</v>
      </c>
      <c r="D171" s="8" t="s">
        <v>1275</v>
      </c>
      <c r="E171" s="8" t="s">
        <v>1276</v>
      </c>
      <c r="F171" s="8" t="s">
        <v>1277</v>
      </c>
      <c r="G171" s="6" t="s">
        <v>76</v>
      </c>
      <c r="H171" s="6" t="s">
        <v>39</v>
      </c>
      <c r="I171" s="8" t="s">
        <v>114</v>
      </c>
      <c r="J171" s="9">
        <v>1</v>
      </c>
      <c r="K171" s="9">
        <v>128</v>
      </c>
      <c r="L171" s="9">
        <v>2024</v>
      </c>
      <c r="M171" s="8" t="s">
        <v>1278</v>
      </c>
      <c r="N171" s="8" t="s">
        <v>137</v>
      </c>
      <c r="O171" s="8" t="s">
        <v>1198</v>
      </c>
      <c r="P171" s="6" t="s">
        <v>1279</v>
      </c>
      <c r="Q171" s="8" t="s">
        <v>45</v>
      </c>
      <c r="R171" s="10" t="s">
        <v>1280</v>
      </c>
      <c r="S171" s="11"/>
      <c r="T171" s="6"/>
      <c r="U171" s="27" t="str">
        <f>HYPERLINK("https://media.infra-m.ru/2056/2056804/cover/2056804.jpg", "Обложка")</f>
        <v>Обложка</v>
      </c>
      <c r="V171" s="27" t="str">
        <f>HYPERLINK("https://znanium.ru/catalog/product/1834716", "Ознакомиться")</f>
        <v>Ознакомиться</v>
      </c>
      <c r="W171" s="8" t="s">
        <v>48</v>
      </c>
      <c r="X171" s="6"/>
      <c r="Y171" s="6" t="s">
        <v>30</v>
      </c>
      <c r="Z171" s="6"/>
      <c r="AA171" s="6"/>
      <c r="AB171" s="6" t="s">
        <v>618</v>
      </c>
    </row>
    <row r="172" spans="1:28" s="4" customFormat="1" ht="44.1" customHeight="1">
      <c r="A172" s="5">
        <v>0</v>
      </c>
      <c r="B172" s="6" t="s">
        <v>1281</v>
      </c>
      <c r="C172" s="13">
        <v>454.9</v>
      </c>
      <c r="D172" s="8" t="s">
        <v>1282</v>
      </c>
      <c r="E172" s="8" t="s">
        <v>1261</v>
      </c>
      <c r="F172" s="8" t="s">
        <v>1283</v>
      </c>
      <c r="G172" s="6" t="s">
        <v>76</v>
      </c>
      <c r="H172" s="6" t="s">
        <v>135</v>
      </c>
      <c r="I172" s="8" t="s">
        <v>114</v>
      </c>
      <c r="J172" s="9">
        <v>1</v>
      </c>
      <c r="K172" s="9">
        <v>203</v>
      </c>
      <c r="L172" s="9">
        <v>2020</v>
      </c>
      <c r="M172" s="8" t="s">
        <v>1284</v>
      </c>
      <c r="N172" s="8" t="s">
        <v>137</v>
      </c>
      <c r="O172" s="8" t="s">
        <v>1198</v>
      </c>
      <c r="P172" s="6" t="s">
        <v>58</v>
      </c>
      <c r="Q172" s="8" t="s">
        <v>45</v>
      </c>
      <c r="R172" s="10" t="s">
        <v>1285</v>
      </c>
      <c r="S172" s="11"/>
      <c r="T172" s="6"/>
      <c r="U172" s="27" t="str">
        <f>HYPERLINK("https://media.infra-m.ru/1015/1015080/cover/1015080.jpg", "Обложка")</f>
        <v>Обложка</v>
      </c>
      <c r="V172" s="27" t="str">
        <f>HYPERLINK("https://znanium.ru/catalog/product/1015080", "Ознакомиться")</f>
        <v>Ознакомиться</v>
      </c>
      <c r="W172" s="8" t="s">
        <v>1251</v>
      </c>
      <c r="X172" s="6"/>
      <c r="Y172" s="6" t="s">
        <v>30</v>
      </c>
      <c r="Z172" s="6"/>
      <c r="AA172" s="6"/>
      <c r="AB172" s="6" t="s">
        <v>375</v>
      </c>
    </row>
    <row r="173" spans="1:28" s="4" customFormat="1" ht="51.95" customHeight="1">
      <c r="A173" s="5">
        <v>0</v>
      </c>
      <c r="B173" s="6" t="s">
        <v>1286</v>
      </c>
      <c r="C173" s="7">
        <v>1130</v>
      </c>
      <c r="D173" s="8" t="s">
        <v>1287</v>
      </c>
      <c r="E173" s="8" t="s">
        <v>1269</v>
      </c>
      <c r="F173" s="8" t="s">
        <v>1288</v>
      </c>
      <c r="G173" s="6" t="s">
        <v>38</v>
      </c>
      <c r="H173" s="6" t="s">
        <v>113</v>
      </c>
      <c r="I173" s="8" t="s">
        <v>40</v>
      </c>
      <c r="J173" s="9">
        <v>1</v>
      </c>
      <c r="K173" s="9">
        <v>333</v>
      </c>
      <c r="L173" s="9">
        <v>2019</v>
      </c>
      <c r="M173" s="8" t="s">
        <v>1289</v>
      </c>
      <c r="N173" s="8" t="s">
        <v>137</v>
      </c>
      <c r="O173" s="8" t="s">
        <v>1198</v>
      </c>
      <c r="P173" s="6" t="s">
        <v>44</v>
      </c>
      <c r="Q173" s="8" t="s">
        <v>45</v>
      </c>
      <c r="R173" s="10" t="s">
        <v>1264</v>
      </c>
      <c r="S173" s="11" t="s">
        <v>1290</v>
      </c>
      <c r="T173" s="6"/>
      <c r="U173" s="27" t="str">
        <f>HYPERLINK("https://media.infra-m.ru/1003/1003313/cover/1003313.jpg", "Обложка")</f>
        <v>Обложка</v>
      </c>
      <c r="V173" s="27" t="str">
        <f>HYPERLINK("https://znanium.ru/catalog/product/1865357", "Ознакомиться")</f>
        <v>Ознакомиться</v>
      </c>
      <c r="W173" s="8" t="s">
        <v>1266</v>
      </c>
      <c r="X173" s="6"/>
      <c r="Y173" s="6" t="s">
        <v>30</v>
      </c>
      <c r="Z173" s="6"/>
      <c r="AA173" s="6"/>
      <c r="AB173" s="6" t="s">
        <v>242</v>
      </c>
    </row>
    <row r="174" spans="1:28" s="4" customFormat="1" ht="51.95" customHeight="1">
      <c r="A174" s="5">
        <v>0</v>
      </c>
      <c r="B174" s="6" t="s">
        <v>1291</v>
      </c>
      <c r="C174" s="7">
        <v>1094</v>
      </c>
      <c r="D174" s="8" t="s">
        <v>1292</v>
      </c>
      <c r="E174" s="8" t="s">
        <v>1269</v>
      </c>
      <c r="F174" s="8" t="s">
        <v>1293</v>
      </c>
      <c r="G174" s="6" t="s">
        <v>38</v>
      </c>
      <c r="H174" s="6" t="s">
        <v>113</v>
      </c>
      <c r="I174" s="8" t="s">
        <v>40</v>
      </c>
      <c r="J174" s="9">
        <v>1</v>
      </c>
      <c r="K174" s="9">
        <v>239</v>
      </c>
      <c r="L174" s="9">
        <v>2024</v>
      </c>
      <c r="M174" s="8" t="s">
        <v>1294</v>
      </c>
      <c r="N174" s="8" t="s">
        <v>137</v>
      </c>
      <c r="O174" s="8" t="s">
        <v>1198</v>
      </c>
      <c r="P174" s="6" t="s">
        <v>44</v>
      </c>
      <c r="Q174" s="8" t="s">
        <v>45</v>
      </c>
      <c r="R174" s="10" t="s">
        <v>1295</v>
      </c>
      <c r="S174" s="11" t="s">
        <v>1296</v>
      </c>
      <c r="T174" s="6"/>
      <c r="U174" s="27" t="str">
        <f>HYPERLINK("https://media.infra-m.ru/2122/2122499/cover/2122499.jpg", "Обложка")</f>
        <v>Обложка</v>
      </c>
      <c r="V174" s="27" t="str">
        <f>HYPERLINK("https://znanium.ru/catalog/product/1225693", "Ознакомиться")</f>
        <v>Ознакомиться</v>
      </c>
      <c r="W174" s="8" t="s">
        <v>91</v>
      </c>
      <c r="X174" s="6"/>
      <c r="Y174" s="6" t="s">
        <v>30</v>
      </c>
      <c r="Z174" s="6"/>
      <c r="AA174" s="6"/>
      <c r="AB174" s="6" t="s">
        <v>670</v>
      </c>
    </row>
    <row r="175" spans="1:28" s="4" customFormat="1" ht="51.95" customHeight="1">
      <c r="A175" s="5">
        <v>0</v>
      </c>
      <c r="B175" s="6" t="s">
        <v>1297</v>
      </c>
      <c r="C175" s="7">
        <v>1360</v>
      </c>
      <c r="D175" s="8" t="s">
        <v>1298</v>
      </c>
      <c r="E175" s="8" t="s">
        <v>1299</v>
      </c>
      <c r="F175" s="8" t="s">
        <v>1300</v>
      </c>
      <c r="G175" s="6" t="s">
        <v>38</v>
      </c>
      <c r="H175" s="6" t="s">
        <v>113</v>
      </c>
      <c r="I175" s="8" t="s">
        <v>40</v>
      </c>
      <c r="J175" s="9">
        <v>1</v>
      </c>
      <c r="K175" s="9">
        <v>288</v>
      </c>
      <c r="L175" s="9">
        <v>2024</v>
      </c>
      <c r="M175" s="8" t="s">
        <v>1301</v>
      </c>
      <c r="N175" s="8" t="s">
        <v>56</v>
      </c>
      <c r="O175" s="8" t="s">
        <v>231</v>
      </c>
      <c r="P175" s="6" t="s">
        <v>58</v>
      </c>
      <c r="Q175" s="8" t="s">
        <v>45</v>
      </c>
      <c r="R175" s="10" t="s">
        <v>1302</v>
      </c>
      <c r="S175" s="11" t="s">
        <v>1303</v>
      </c>
      <c r="T175" s="6" t="s">
        <v>348</v>
      </c>
      <c r="U175" s="27" t="str">
        <f>HYPERLINK("https://media.infra-m.ru/2151/2151380/cover/2151380.jpg", "Обложка")</f>
        <v>Обложка</v>
      </c>
      <c r="V175" s="27" t="str">
        <f>HYPERLINK("https://znanium.ru/catalog/product/2151380", "Ознакомиться")</f>
        <v>Ознакомиться</v>
      </c>
      <c r="W175" s="8" t="s">
        <v>701</v>
      </c>
      <c r="X175" s="6"/>
      <c r="Y175" s="6" t="s">
        <v>30</v>
      </c>
      <c r="Z175" s="6"/>
      <c r="AA175" s="6"/>
      <c r="AB175" s="6" t="s">
        <v>120</v>
      </c>
    </row>
    <row r="176" spans="1:28" s="4" customFormat="1" ht="51.95" customHeight="1">
      <c r="A176" s="5">
        <v>0</v>
      </c>
      <c r="B176" s="6" t="s">
        <v>1304</v>
      </c>
      <c r="C176" s="13">
        <v>824</v>
      </c>
      <c r="D176" s="8" t="s">
        <v>1305</v>
      </c>
      <c r="E176" s="8" t="s">
        <v>1306</v>
      </c>
      <c r="F176" s="8" t="s">
        <v>1307</v>
      </c>
      <c r="G176" s="6" t="s">
        <v>76</v>
      </c>
      <c r="H176" s="6" t="s">
        <v>39</v>
      </c>
      <c r="I176" s="8" t="s">
        <v>114</v>
      </c>
      <c r="J176" s="9">
        <v>1</v>
      </c>
      <c r="K176" s="9">
        <v>176</v>
      </c>
      <c r="L176" s="9">
        <v>2024</v>
      </c>
      <c r="M176" s="8" t="s">
        <v>1308</v>
      </c>
      <c r="N176" s="8" t="s">
        <v>137</v>
      </c>
      <c r="O176" s="8" t="s">
        <v>297</v>
      </c>
      <c r="P176" s="6" t="s">
        <v>58</v>
      </c>
      <c r="Q176" s="8" t="s">
        <v>45</v>
      </c>
      <c r="R176" s="10" t="s">
        <v>1309</v>
      </c>
      <c r="S176" s="11" t="s">
        <v>797</v>
      </c>
      <c r="T176" s="6"/>
      <c r="U176" s="27" t="str">
        <f>HYPERLINK("https://media.infra-m.ru/2121/2121223/cover/2121223.jpg", "Обложка")</f>
        <v>Обложка</v>
      </c>
      <c r="V176" s="27" t="str">
        <f>HYPERLINK("https://znanium.ru/catalog/product/1815943", "Ознакомиться")</f>
        <v>Ознакомиться</v>
      </c>
      <c r="W176" s="8" t="s">
        <v>1310</v>
      </c>
      <c r="X176" s="6"/>
      <c r="Y176" s="6" t="s">
        <v>30</v>
      </c>
      <c r="Z176" s="6"/>
      <c r="AA176" s="6"/>
      <c r="AB176" s="6" t="s">
        <v>242</v>
      </c>
    </row>
    <row r="177" spans="1:28" s="4" customFormat="1" ht="51.95" customHeight="1">
      <c r="A177" s="5">
        <v>0</v>
      </c>
      <c r="B177" s="6" t="s">
        <v>1311</v>
      </c>
      <c r="C177" s="13">
        <v>884</v>
      </c>
      <c r="D177" s="8" t="s">
        <v>1312</v>
      </c>
      <c r="E177" s="8" t="s">
        <v>1313</v>
      </c>
      <c r="F177" s="8" t="s">
        <v>1314</v>
      </c>
      <c r="G177" s="6" t="s">
        <v>173</v>
      </c>
      <c r="H177" s="6" t="s">
        <v>54</v>
      </c>
      <c r="I177" s="8" t="s">
        <v>77</v>
      </c>
      <c r="J177" s="9">
        <v>1</v>
      </c>
      <c r="K177" s="9">
        <v>192</v>
      </c>
      <c r="L177" s="9">
        <v>2023</v>
      </c>
      <c r="M177" s="8" t="s">
        <v>1315</v>
      </c>
      <c r="N177" s="8" t="s">
        <v>56</v>
      </c>
      <c r="O177" s="8" t="s">
        <v>57</v>
      </c>
      <c r="P177" s="6" t="s">
        <v>58</v>
      </c>
      <c r="Q177" s="8" t="s">
        <v>79</v>
      </c>
      <c r="R177" s="10" t="s">
        <v>1316</v>
      </c>
      <c r="S177" s="11" t="s">
        <v>1317</v>
      </c>
      <c r="T177" s="6"/>
      <c r="U177" s="27" t="str">
        <f>HYPERLINK("https://media.infra-m.ru/1981/1981677/cover/1981677.jpg", "Обложка")</f>
        <v>Обложка</v>
      </c>
      <c r="V177" s="27" t="str">
        <f>HYPERLINK("https://znanium.ru/catalog/product/959892", "Ознакомиться")</f>
        <v>Ознакомиться</v>
      </c>
      <c r="W177" s="8" t="s">
        <v>1318</v>
      </c>
      <c r="X177" s="6"/>
      <c r="Y177" s="6" t="s">
        <v>30</v>
      </c>
      <c r="Z177" s="6"/>
      <c r="AA177" s="6"/>
      <c r="AB177" s="6" t="s">
        <v>98</v>
      </c>
    </row>
    <row r="178" spans="1:28" s="4" customFormat="1" ht="51.95" customHeight="1">
      <c r="A178" s="5">
        <v>0</v>
      </c>
      <c r="B178" s="6" t="s">
        <v>1319</v>
      </c>
      <c r="C178" s="7">
        <v>1154</v>
      </c>
      <c r="D178" s="8" t="s">
        <v>1320</v>
      </c>
      <c r="E178" s="8" t="s">
        <v>1321</v>
      </c>
      <c r="F178" s="8" t="s">
        <v>1322</v>
      </c>
      <c r="G178" s="6" t="s">
        <v>38</v>
      </c>
      <c r="H178" s="6" t="s">
        <v>54</v>
      </c>
      <c r="I178" s="8" t="s">
        <v>77</v>
      </c>
      <c r="J178" s="9">
        <v>1</v>
      </c>
      <c r="K178" s="9">
        <v>245</v>
      </c>
      <c r="L178" s="9">
        <v>2024</v>
      </c>
      <c r="M178" s="8" t="s">
        <v>1323</v>
      </c>
      <c r="N178" s="8" t="s">
        <v>56</v>
      </c>
      <c r="O178" s="8" t="s">
        <v>286</v>
      </c>
      <c r="P178" s="6" t="s">
        <v>58</v>
      </c>
      <c r="Q178" s="8" t="s">
        <v>79</v>
      </c>
      <c r="R178" s="10" t="s">
        <v>1324</v>
      </c>
      <c r="S178" s="11" t="s">
        <v>1325</v>
      </c>
      <c r="T178" s="6"/>
      <c r="U178" s="27" t="str">
        <f>HYPERLINK("https://media.infra-m.ru/2084/2084311/cover/2084311.jpg", "Обложка")</f>
        <v>Обложка</v>
      </c>
      <c r="V178" s="27" t="str">
        <f>HYPERLINK("https://znanium.ru/catalog/product/1872738", "Ознакомиться")</f>
        <v>Ознакомиться</v>
      </c>
      <c r="W178" s="8" t="s">
        <v>1326</v>
      </c>
      <c r="X178" s="6"/>
      <c r="Y178" s="6" t="s">
        <v>30</v>
      </c>
      <c r="Z178" s="6"/>
      <c r="AA178" s="6"/>
      <c r="AB178" s="6" t="s">
        <v>383</v>
      </c>
    </row>
    <row r="179" spans="1:28" s="4" customFormat="1" ht="51.95" customHeight="1">
      <c r="A179" s="5">
        <v>0</v>
      </c>
      <c r="B179" s="6" t="s">
        <v>1327</v>
      </c>
      <c r="C179" s="13">
        <v>424.9</v>
      </c>
      <c r="D179" s="8" t="s">
        <v>1328</v>
      </c>
      <c r="E179" s="8" t="s">
        <v>1329</v>
      </c>
      <c r="F179" s="8" t="s">
        <v>1330</v>
      </c>
      <c r="G179" s="6" t="s">
        <v>76</v>
      </c>
      <c r="H179" s="6" t="s">
        <v>54</v>
      </c>
      <c r="I179" s="8" t="s">
        <v>77</v>
      </c>
      <c r="J179" s="9">
        <v>1</v>
      </c>
      <c r="K179" s="9">
        <v>143</v>
      </c>
      <c r="L179" s="9">
        <v>2019</v>
      </c>
      <c r="M179" s="8" t="s">
        <v>1331</v>
      </c>
      <c r="N179" s="8" t="s">
        <v>56</v>
      </c>
      <c r="O179" s="8" t="s">
        <v>286</v>
      </c>
      <c r="P179" s="6" t="s">
        <v>58</v>
      </c>
      <c r="Q179" s="8" t="s">
        <v>79</v>
      </c>
      <c r="R179" s="10" t="s">
        <v>1324</v>
      </c>
      <c r="S179" s="11" t="s">
        <v>1332</v>
      </c>
      <c r="T179" s="6"/>
      <c r="U179" s="27" t="str">
        <f>HYPERLINK("https://media.infra-m.ru/0982/0982322/cover/982322.jpg", "Обложка")</f>
        <v>Обложка</v>
      </c>
      <c r="V179" s="27" t="str">
        <f>HYPERLINK("https://znanium.ru/catalog/product/1872738", "Ознакомиться")</f>
        <v>Ознакомиться</v>
      </c>
      <c r="W179" s="8" t="s">
        <v>1326</v>
      </c>
      <c r="X179" s="6"/>
      <c r="Y179" s="6" t="s">
        <v>30</v>
      </c>
      <c r="Z179" s="6"/>
      <c r="AA179" s="6"/>
      <c r="AB179" s="6" t="s">
        <v>98</v>
      </c>
    </row>
    <row r="180" spans="1:28" s="4" customFormat="1" ht="42" customHeight="1">
      <c r="A180" s="5">
        <v>0</v>
      </c>
      <c r="B180" s="6" t="s">
        <v>1333</v>
      </c>
      <c r="C180" s="7">
        <v>1584</v>
      </c>
      <c r="D180" s="8" t="s">
        <v>1334</v>
      </c>
      <c r="E180" s="8" t="s">
        <v>1335</v>
      </c>
      <c r="F180" s="8" t="s">
        <v>1336</v>
      </c>
      <c r="G180" s="6" t="s">
        <v>38</v>
      </c>
      <c r="H180" s="6" t="s">
        <v>229</v>
      </c>
      <c r="I180" s="8" t="s">
        <v>40</v>
      </c>
      <c r="J180" s="9">
        <v>1</v>
      </c>
      <c r="K180" s="9">
        <v>352</v>
      </c>
      <c r="L180" s="9">
        <v>2023</v>
      </c>
      <c r="M180" s="8" t="s">
        <v>1337</v>
      </c>
      <c r="N180" s="8" t="s">
        <v>56</v>
      </c>
      <c r="O180" s="8" t="s">
        <v>231</v>
      </c>
      <c r="P180" s="6" t="s">
        <v>44</v>
      </c>
      <c r="Q180" s="8" t="s">
        <v>45</v>
      </c>
      <c r="R180" s="10" t="s">
        <v>1338</v>
      </c>
      <c r="S180" s="11"/>
      <c r="T180" s="6"/>
      <c r="U180" s="27" t="str">
        <f>HYPERLINK("https://media.infra-m.ru/2001/2001626/cover/2001626.jpg", "Обложка")</f>
        <v>Обложка</v>
      </c>
      <c r="V180" s="27" t="str">
        <f>HYPERLINK("https://znanium.ru/catalog/product/1495622", "Ознакомиться")</f>
        <v>Ознакомиться</v>
      </c>
      <c r="W180" s="8" t="s">
        <v>1051</v>
      </c>
      <c r="X180" s="6"/>
      <c r="Y180" s="6" t="s">
        <v>30</v>
      </c>
      <c r="Z180" s="6"/>
      <c r="AA180" s="6"/>
      <c r="AB180" s="6" t="s">
        <v>215</v>
      </c>
    </row>
    <row r="181" spans="1:28" s="4" customFormat="1" ht="51.95" customHeight="1">
      <c r="A181" s="5">
        <v>0</v>
      </c>
      <c r="B181" s="6" t="s">
        <v>1339</v>
      </c>
      <c r="C181" s="7">
        <v>1780</v>
      </c>
      <c r="D181" s="8" t="s">
        <v>1340</v>
      </c>
      <c r="E181" s="8" t="s">
        <v>1341</v>
      </c>
      <c r="F181" s="8" t="s">
        <v>1342</v>
      </c>
      <c r="G181" s="6" t="s">
        <v>38</v>
      </c>
      <c r="H181" s="6" t="s">
        <v>54</v>
      </c>
      <c r="I181" s="8" t="s">
        <v>77</v>
      </c>
      <c r="J181" s="9">
        <v>1</v>
      </c>
      <c r="K181" s="9">
        <v>395</v>
      </c>
      <c r="L181" s="9">
        <v>2023</v>
      </c>
      <c r="M181" s="8" t="s">
        <v>1343</v>
      </c>
      <c r="N181" s="8" t="s">
        <v>137</v>
      </c>
      <c r="O181" s="8" t="s">
        <v>521</v>
      </c>
      <c r="P181" s="6" t="s">
        <v>44</v>
      </c>
      <c r="Q181" s="8" t="s">
        <v>79</v>
      </c>
      <c r="R181" s="10" t="s">
        <v>1344</v>
      </c>
      <c r="S181" s="11" t="s">
        <v>1345</v>
      </c>
      <c r="T181" s="6" t="s">
        <v>348</v>
      </c>
      <c r="U181" s="27" t="str">
        <f>HYPERLINK("https://media.infra-m.ru/1939/1939099/cover/1939099.jpg", "Обложка")</f>
        <v>Обложка</v>
      </c>
      <c r="V181" s="27" t="str">
        <f>HYPERLINK("https://znanium.ru/catalog/product/1939099", "Ознакомиться")</f>
        <v>Ознакомиться</v>
      </c>
      <c r="W181" s="8" t="s">
        <v>1346</v>
      </c>
      <c r="X181" s="6"/>
      <c r="Y181" s="6" t="s">
        <v>30</v>
      </c>
      <c r="Z181" s="6"/>
      <c r="AA181" s="6"/>
      <c r="AB181" s="6" t="s">
        <v>82</v>
      </c>
    </row>
    <row r="182" spans="1:28" s="4" customFormat="1" ht="51.95" customHeight="1">
      <c r="A182" s="5">
        <v>0</v>
      </c>
      <c r="B182" s="6" t="s">
        <v>1347</v>
      </c>
      <c r="C182" s="7">
        <v>1434</v>
      </c>
      <c r="D182" s="8" t="s">
        <v>1348</v>
      </c>
      <c r="E182" s="8" t="s">
        <v>1349</v>
      </c>
      <c r="F182" s="8" t="s">
        <v>916</v>
      </c>
      <c r="G182" s="6" t="s">
        <v>38</v>
      </c>
      <c r="H182" s="6" t="s">
        <v>113</v>
      </c>
      <c r="I182" s="8" t="s">
        <v>40</v>
      </c>
      <c r="J182" s="9">
        <v>1</v>
      </c>
      <c r="K182" s="9">
        <v>304</v>
      </c>
      <c r="L182" s="9">
        <v>2024</v>
      </c>
      <c r="M182" s="8" t="s">
        <v>1350</v>
      </c>
      <c r="N182" s="8" t="s">
        <v>137</v>
      </c>
      <c r="O182" s="8" t="s">
        <v>297</v>
      </c>
      <c r="P182" s="6" t="s">
        <v>58</v>
      </c>
      <c r="Q182" s="8" t="s">
        <v>45</v>
      </c>
      <c r="R182" s="10" t="s">
        <v>1351</v>
      </c>
      <c r="S182" s="11" t="s">
        <v>319</v>
      </c>
      <c r="T182" s="6"/>
      <c r="U182" s="27" t="str">
        <f>HYPERLINK("https://media.infra-m.ru/2149/2149191/cover/2149191.jpg", "Обложка")</f>
        <v>Обложка</v>
      </c>
      <c r="V182" s="27" t="str">
        <f>HYPERLINK("https://znanium.ru/catalog/product/2082174", "Ознакомиться")</f>
        <v>Ознакомиться</v>
      </c>
      <c r="W182" s="8" t="s">
        <v>747</v>
      </c>
      <c r="X182" s="6"/>
      <c r="Y182" s="6" t="s">
        <v>30</v>
      </c>
      <c r="Z182" s="6"/>
      <c r="AA182" s="6"/>
      <c r="AB182" s="6" t="s">
        <v>242</v>
      </c>
    </row>
    <row r="183" spans="1:28" s="4" customFormat="1" ht="51.95" customHeight="1">
      <c r="A183" s="5">
        <v>0</v>
      </c>
      <c r="B183" s="6" t="s">
        <v>1352</v>
      </c>
      <c r="C183" s="13">
        <v>890</v>
      </c>
      <c r="D183" s="8" t="s">
        <v>1353</v>
      </c>
      <c r="E183" s="8" t="s">
        <v>1354</v>
      </c>
      <c r="F183" s="8" t="s">
        <v>1355</v>
      </c>
      <c r="G183" s="6" t="s">
        <v>38</v>
      </c>
      <c r="H183" s="6" t="s">
        <v>113</v>
      </c>
      <c r="I183" s="8" t="s">
        <v>40</v>
      </c>
      <c r="J183" s="9">
        <v>1</v>
      </c>
      <c r="K183" s="9">
        <v>192</v>
      </c>
      <c r="L183" s="9">
        <v>2024</v>
      </c>
      <c r="M183" s="8" t="s">
        <v>1356</v>
      </c>
      <c r="N183" s="8" t="s">
        <v>42</v>
      </c>
      <c r="O183" s="8" t="s">
        <v>405</v>
      </c>
      <c r="P183" s="6" t="s">
        <v>58</v>
      </c>
      <c r="Q183" s="8" t="s">
        <v>45</v>
      </c>
      <c r="R183" s="10" t="s">
        <v>1357</v>
      </c>
      <c r="S183" s="11" t="s">
        <v>1358</v>
      </c>
      <c r="T183" s="6"/>
      <c r="U183" s="27" t="str">
        <f>HYPERLINK("https://media.infra-m.ru/2085/2085093/cover/2085093.jpg", "Обложка")</f>
        <v>Обложка</v>
      </c>
      <c r="V183" s="27" t="str">
        <f>HYPERLINK("https://znanium.ru/catalog/product/2085093", "Ознакомиться")</f>
        <v>Ознакомиться</v>
      </c>
      <c r="W183" s="8" t="s">
        <v>1003</v>
      </c>
      <c r="X183" s="6"/>
      <c r="Y183" s="6" t="s">
        <v>30</v>
      </c>
      <c r="Z183" s="6"/>
      <c r="AA183" s="6"/>
      <c r="AB183" s="6" t="s">
        <v>1149</v>
      </c>
    </row>
    <row r="184" spans="1:28" s="4" customFormat="1" ht="51.95" customHeight="1">
      <c r="A184" s="5">
        <v>0</v>
      </c>
      <c r="B184" s="6" t="s">
        <v>1359</v>
      </c>
      <c r="C184" s="13">
        <v>630</v>
      </c>
      <c r="D184" s="8" t="s">
        <v>1360</v>
      </c>
      <c r="E184" s="8" t="s">
        <v>1361</v>
      </c>
      <c r="F184" s="8" t="s">
        <v>1314</v>
      </c>
      <c r="G184" s="6" t="s">
        <v>76</v>
      </c>
      <c r="H184" s="6" t="s">
        <v>54</v>
      </c>
      <c r="I184" s="8" t="s">
        <v>247</v>
      </c>
      <c r="J184" s="9">
        <v>1</v>
      </c>
      <c r="K184" s="9">
        <v>136</v>
      </c>
      <c r="L184" s="9">
        <v>2024</v>
      </c>
      <c r="M184" s="8" t="s">
        <v>1362</v>
      </c>
      <c r="N184" s="8" t="s">
        <v>56</v>
      </c>
      <c r="O184" s="8" t="s">
        <v>57</v>
      </c>
      <c r="P184" s="6" t="s">
        <v>58</v>
      </c>
      <c r="Q184" s="8" t="s">
        <v>88</v>
      </c>
      <c r="R184" s="10" t="s">
        <v>1363</v>
      </c>
      <c r="S184" s="11" t="s">
        <v>1317</v>
      </c>
      <c r="T184" s="6"/>
      <c r="U184" s="27" t="str">
        <f>HYPERLINK("https://media.infra-m.ru/2056/2056735/cover/2056735.jpg", "Обложка")</f>
        <v>Обложка</v>
      </c>
      <c r="V184" s="27" t="str">
        <f>HYPERLINK("https://znanium.ru/catalog/product/2056735", "Ознакомиться")</f>
        <v>Ознакомиться</v>
      </c>
      <c r="W184" s="8" t="s">
        <v>1318</v>
      </c>
      <c r="X184" s="6"/>
      <c r="Y184" s="6" t="s">
        <v>30</v>
      </c>
      <c r="Z184" s="6"/>
      <c r="AA184" s="6"/>
      <c r="AB184" s="6" t="s">
        <v>98</v>
      </c>
    </row>
    <row r="185" spans="1:28" s="4" customFormat="1" ht="51.95" customHeight="1">
      <c r="A185" s="5">
        <v>0</v>
      </c>
      <c r="B185" s="6" t="s">
        <v>1364</v>
      </c>
      <c r="C185" s="7">
        <v>1550</v>
      </c>
      <c r="D185" s="8" t="s">
        <v>1365</v>
      </c>
      <c r="E185" s="8" t="s">
        <v>1366</v>
      </c>
      <c r="F185" s="8" t="s">
        <v>1367</v>
      </c>
      <c r="G185" s="6" t="s">
        <v>38</v>
      </c>
      <c r="H185" s="6" t="s">
        <v>229</v>
      </c>
      <c r="I185" s="8" t="s">
        <v>40</v>
      </c>
      <c r="J185" s="9">
        <v>1</v>
      </c>
      <c r="K185" s="9">
        <v>336</v>
      </c>
      <c r="L185" s="9">
        <v>2024</v>
      </c>
      <c r="M185" s="8" t="s">
        <v>1368</v>
      </c>
      <c r="N185" s="8" t="s">
        <v>56</v>
      </c>
      <c r="O185" s="8" t="s">
        <v>231</v>
      </c>
      <c r="P185" s="6" t="s">
        <v>58</v>
      </c>
      <c r="Q185" s="8" t="s">
        <v>45</v>
      </c>
      <c r="R185" s="10" t="s">
        <v>1369</v>
      </c>
      <c r="S185" s="11" t="s">
        <v>1370</v>
      </c>
      <c r="T185" s="6"/>
      <c r="U185" s="27" t="str">
        <f>HYPERLINK("https://media.infra-m.ru/2083/2083407/cover/2083407.jpg", "Обложка")</f>
        <v>Обложка</v>
      </c>
      <c r="V185" s="27" t="str">
        <f>HYPERLINK("https://znanium.ru/catalog/product/2083407", "Ознакомиться")</f>
        <v>Ознакомиться</v>
      </c>
      <c r="W185" s="8" t="s">
        <v>1371</v>
      </c>
      <c r="X185" s="6"/>
      <c r="Y185" s="6" t="s">
        <v>30</v>
      </c>
      <c r="Z185" s="6"/>
      <c r="AA185" s="6"/>
      <c r="AB185" s="6" t="s">
        <v>480</v>
      </c>
    </row>
    <row r="186" spans="1:28" s="4" customFormat="1" ht="42" customHeight="1">
      <c r="A186" s="5">
        <v>0</v>
      </c>
      <c r="B186" s="6" t="s">
        <v>1372</v>
      </c>
      <c r="C186" s="7">
        <v>1334.9</v>
      </c>
      <c r="D186" s="8" t="s">
        <v>1373</v>
      </c>
      <c r="E186" s="8" t="s">
        <v>1374</v>
      </c>
      <c r="F186" s="8" t="s">
        <v>1375</v>
      </c>
      <c r="G186" s="6" t="s">
        <v>173</v>
      </c>
      <c r="H186" s="6" t="s">
        <v>229</v>
      </c>
      <c r="I186" s="8" t="s">
        <v>1376</v>
      </c>
      <c r="J186" s="9">
        <v>1</v>
      </c>
      <c r="K186" s="9">
        <v>352</v>
      </c>
      <c r="L186" s="9">
        <v>2022</v>
      </c>
      <c r="M186" s="8" t="s">
        <v>1377</v>
      </c>
      <c r="N186" s="8" t="s">
        <v>56</v>
      </c>
      <c r="O186" s="8" t="s">
        <v>57</v>
      </c>
      <c r="P186" s="6" t="s">
        <v>44</v>
      </c>
      <c r="Q186" s="8" t="s">
        <v>79</v>
      </c>
      <c r="R186" s="10" t="s">
        <v>1378</v>
      </c>
      <c r="S186" s="11"/>
      <c r="T186" s="6"/>
      <c r="U186" s="27" t="str">
        <f>HYPERLINK("https://media.infra-m.ru/1862/1862391/cover/1862391.jpg", "Обложка")</f>
        <v>Обложка</v>
      </c>
      <c r="V186" s="27" t="str">
        <f>HYPERLINK("https://znanium.ru/catalog/product/944189", "Ознакомиться")</f>
        <v>Ознакомиться</v>
      </c>
      <c r="W186" s="8" t="s">
        <v>617</v>
      </c>
      <c r="X186" s="6"/>
      <c r="Y186" s="6" t="s">
        <v>30</v>
      </c>
      <c r="Z186" s="6"/>
      <c r="AA186" s="6"/>
      <c r="AB186" s="6" t="s">
        <v>300</v>
      </c>
    </row>
    <row r="187" spans="1:28" s="4" customFormat="1" ht="51.95" customHeight="1">
      <c r="A187" s="5">
        <v>0</v>
      </c>
      <c r="B187" s="6" t="s">
        <v>1379</v>
      </c>
      <c r="C187" s="13">
        <v>644.9</v>
      </c>
      <c r="D187" s="8" t="s">
        <v>1380</v>
      </c>
      <c r="E187" s="8" t="s">
        <v>1381</v>
      </c>
      <c r="F187" s="8" t="s">
        <v>1382</v>
      </c>
      <c r="G187" s="6" t="s">
        <v>38</v>
      </c>
      <c r="H187" s="6" t="s">
        <v>113</v>
      </c>
      <c r="I187" s="8" t="s">
        <v>114</v>
      </c>
      <c r="J187" s="9">
        <v>1</v>
      </c>
      <c r="K187" s="9">
        <v>144</v>
      </c>
      <c r="L187" s="9">
        <v>2022</v>
      </c>
      <c r="M187" s="8" t="s">
        <v>1383</v>
      </c>
      <c r="N187" s="8" t="s">
        <v>42</v>
      </c>
      <c r="O187" s="8" t="s">
        <v>43</v>
      </c>
      <c r="P187" s="6" t="s">
        <v>58</v>
      </c>
      <c r="Q187" s="8" t="s">
        <v>45</v>
      </c>
      <c r="R187" s="10" t="s">
        <v>1384</v>
      </c>
      <c r="S187" s="11" t="s">
        <v>1385</v>
      </c>
      <c r="T187" s="6"/>
      <c r="U187" s="27" t="str">
        <f>HYPERLINK("https://media.infra-m.ru/1952/1952045/cover/1952045.jpg", "Обложка")</f>
        <v>Обложка</v>
      </c>
      <c r="V187" s="27" t="str">
        <f>HYPERLINK("https://znanium.ru/catalog/product/1915889", "Ознакомиться")</f>
        <v>Ознакомиться</v>
      </c>
      <c r="W187" s="8" t="s">
        <v>1386</v>
      </c>
      <c r="X187" s="6"/>
      <c r="Y187" s="6" t="s">
        <v>30</v>
      </c>
      <c r="Z187" s="6"/>
      <c r="AA187" s="6"/>
      <c r="AB187" s="6" t="s">
        <v>242</v>
      </c>
    </row>
    <row r="188" spans="1:28" s="4" customFormat="1" ht="51.95" customHeight="1">
      <c r="A188" s="5">
        <v>0</v>
      </c>
      <c r="B188" s="6" t="s">
        <v>1387</v>
      </c>
      <c r="C188" s="7">
        <v>1174</v>
      </c>
      <c r="D188" s="8" t="s">
        <v>1388</v>
      </c>
      <c r="E188" s="8" t="s">
        <v>1389</v>
      </c>
      <c r="F188" s="8" t="s">
        <v>1390</v>
      </c>
      <c r="G188" s="6" t="s">
        <v>38</v>
      </c>
      <c r="H188" s="6" t="s">
        <v>54</v>
      </c>
      <c r="I188" s="8" t="s">
        <v>40</v>
      </c>
      <c r="J188" s="9">
        <v>1</v>
      </c>
      <c r="K188" s="9">
        <v>249</v>
      </c>
      <c r="L188" s="9">
        <v>2024</v>
      </c>
      <c r="M188" s="8" t="s">
        <v>1391</v>
      </c>
      <c r="N188" s="8" t="s">
        <v>56</v>
      </c>
      <c r="O188" s="8" t="s">
        <v>593</v>
      </c>
      <c r="P188" s="6" t="s">
        <v>44</v>
      </c>
      <c r="Q188" s="8" t="s">
        <v>45</v>
      </c>
      <c r="R188" s="10" t="s">
        <v>1392</v>
      </c>
      <c r="S188" s="11" t="s">
        <v>1393</v>
      </c>
      <c r="T188" s="6"/>
      <c r="U188" s="27" t="str">
        <f>HYPERLINK("https://media.infra-m.ru/2139/2139786/cover/2139786.jpg", "Обложка")</f>
        <v>Обложка</v>
      </c>
      <c r="V188" s="27" t="str">
        <f>HYPERLINK("https://znanium.ru/catalog/product/2135973", "Ознакомиться")</f>
        <v>Ознакомиться</v>
      </c>
      <c r="W188" s="8" t="s">
        <v>730</v>
      </c>
      <c r="X188" s="6"/>
      <c r="Y188" s="6" t="s">
        <v>30</v>
      </c>
      <c r="Z188" s="6"/>
      <c r="AA188" s="6"/>
      <c r="AB188" s="6" t="s">
        <v>833</v>
      </c>
    </row>
    <row r="189" spans="1:28" s="4" customFormat="1" ht="51.95" customHeight="1">
      <c r="A189" s="5">
        <v>0</v>
      </c>
      <c r="B189" s="6" t="s">
        <v>1394</v>
      </c>
      <c r="C189" s="7">
        <v>1350</v>
      </c>
      <c r="D189" s="8" t="s">
        <v>1395</v>
      </c>
      <c r="E189" s="8" t="s">
        <v>1396</v>
      </c>
      <c r="F189" s="8" t="s">
        <v>1397</v>
      </c>
      <c r="G189" s="6" t="s">
        <v>38</v>
      </c>
      <c r="H189" s="6" t="s">
        <v>39</v>
      </c>
      <c r="I189" s="8" t="s">
        <v>40</v>
      </c>
      <c r="J189" s="9">
        <v>1</v>
      </c>
      <c r="K189" s="9">
        <v>288</v>
      </c>
      <c r="L189" s="9">
        <v>2024</v>
      </c>
      <c r="M189" s="8" t="s">
        <v>1398</v>
      </c>
      <c r="N189" s="8" t="s">
        <v>56</v>
      </c>
      <c r="O189" s="8" t="s">
        <v>57</v>
      </c>
      <c r="P189" s="6" t="s">
        <v>44</v>
      </c>
      <c r="Q189" s="8" t="s">
        <v>45</v>
      </c>
      <c r="R189" s="10" t="s">
        <v>1399</v>
      </c>
      <c r="S189" s="11" t="s">
        <v>1400</v>
      </c>
      <c r="T189" s="6"/>
      <c r="U189" s="27" t="str">
        <f>HYPERLINK("https://media.infra-m.ru/2119/2119097/cover/2119097.jpg", "Обложка")</f>
        <v>Обложка</v>
      </c>
      <c r="V189" s="27" t="str">
        <f>HYPERLINK("https://znanium.ru/catalog/product/2119097", "Ознакомиться")</f>
        <v>Ознакомиться</v>
      </c>
      <c r="W189" s="8" t="s">
        <v>91</v>
      </c>
      <c r="X189" s="6"/>
      <c r="Y189" s="6" t="s">
        <v>30</v>
      </c>
      <c r="Z189" s="6"/>
      <c r="AA189" s="6" t="s">
        <v>71</v>
      </c>
      <c r="AB189" s="6" t="s">
        <v>300</v>
      </c>
    </row>
    <row r="190" spans="1:28" s="4" customFormat="1" ht="51.95" customHeight="1">
      <c r="A190" s="5">
        <v>0</v>
      </c>
      <c r="B190" s="6" t="s">
        <v>1401</v>
      </c>
      <c r="C190" s="7">
        <v>1510</v>
      </c>
      <c r="D190" s="8" t="s">
        <v>1402</v>
      </c>
      <c r="E190" s="8" t="s">
        <v>1403</v>
      </c>
      <c r="F190" s="8" t="s">
        <v>1404</v>
      </c>
      <c r="G190" s="6" t="s">
        <v>38</v>
      </c>
      <c r="H190" s="6" t="s">
        <v>39</v>
      </c>
      <c r="I190" s="8" t="s">
        <v>247</v>
      </c>
      <c r="J190" s="9">
        <v>1</v>
      </c>
      <c r="K190" s="9">
        <v>336</v>
      </c>
      <c r="L190" s="9">
        <v>2022</v>
      </c>
      <c r="M190" s="8" t="s">
        <v>1405</v>
      </c>
      <c r="N190" s="8" t="s">
        <v>56</v>
      </c>
      <c r="O190" s="8" t="s">
        <v>57</v>
      </c>
      <c r="P190" s="6" t="s">
        <v>44</v>
      </c>
      <c r="Q190" s="8" t="s">
        <v>79</v>
      </c>
      <c r="R190" s="10" t="s">
        <v>1406</v>
      </c>
      <c r="S190" s="11"/>
      <c r="T190" s="6"/>
      <c r="U190" s="27" t="str">
        <f>HYPERLINK("https://media.infra-m.ru/1947/1947416/cover/1947416.jpg", "Обложка")</f>
        <v>Обложка</v>
      </c>
      <c r="V190" s="27" t="str">
        <f>HYPERLINK("https://znanium.ru/catalog/product/1840885", "Ознакомиться")</f>
        <v>Ознакомиться</v>
      </c>
      <c r="W190" s="8" t="s">
        <v>91</v>
      </c>
      <c r="X190" s="6"/>
      <c r="Y190" s="6" t="s">
        <v>30</v>
      </c>
      <c r="Z190" s="6"/>
      <c r="AA190" s="6"/>
      <c r="AB190" s="6" t="s">
        <v>340</v>
      </c>
    </row>
    <row r="191" spans="1:28" s="4" customFormat="1" ht="42" customHeight="1">
      <c r="A191" s="5">
        <v>0</v>
      </c>
      <c r="B191" s="6" t="s">
        <v>1407</v>
      </c>
      <c r="C191" s="7">
        <v>1484.9</v>
      </c>
      <c r="D191" s="8" t="s">
        <v>1408</v>
      </c>
      <c r="E191" s="8" t="s">
        <v>1409</v>
      </c>
      <c r="F191" s="8" t="s">
        <v>1410</v>
      </c>
      <c r="G191" s="6" t="s">
        <v>173</v>
      </c>
      <c r="H191" s="6" t="s">
        <v>54</v>
      </c>
      <c r="I191" s="8" t="s">
        <v>40</v>
      </c>
      <c r="J191" s="9">
        <v>1</v>
      </c>
      <c r="K191" s="9">
        <v>392</v>
      </c>
      <c r="L191" s="9">
        <v>2022</v>
      </c>
      <c r="M191" s="8" t="s">
        <v>1411</v>
      </c>
      <c r="N191" s="8" t="s">
        <v>56</v>
      </c>
      <c r="O191" s="8" t="s">
        <v>286</v>
      </c>
      <c r="P191" s="6" t="s">
        <v>58</v>
      </c>
      <c r="Q191" s="8" t="s">
        <v>45</v>
      </c>
      <c r="R191" s="10" t="s">
        <v>1412</v>
      </c>
      <c r="S191" s="11"/>
      <c r="T191" s="6"/>
      <c r="U191" s="27" t="str">
        <f>HYPERLINK("https://media.infra-m.ru/1851/1851444/cover/1851444.jpg", "Обложка")</f>
        <v>Обложка</v>
      </c>
      <c r="V191" s="27" t="str">
        <f>HYPERLINK("https://znanium.ru/catalog/product/1851444", "Ознакомиться")</f>
        <v>Ознакомиться</v>
      </c>
      <c r="W191" s="8" t="s">
        <v>891</v>
      </c>
      <c r="X191" s="6"/>
      <c r="Y191" s="6" t="s">
        <v>30</v>
      </c>
      <c r="Z191" s="6"/>
      <c r="AA191" s="6"/>
      <c r="AB191" s="6" t="s">
        <v>340</v>
      </c>
    </row>
    <row r="192" spans="1:28" s="4" customFormat="1" ht="51.95" customHeight="1">
      <c r="A192" s="5">
        <v>0</v>
      </c>
      <c r="B192" s="6" t="s">
        <v>1413</v>
      </c>
      <c r="C192" s="7">
        <v>1390</v>
      </c>
      <c r="D192" s="8" t="s">
        <v>1414</v>
      </c>
      <c r="E192" s="8" t="s">
        <v>1415</v>
      </c>
      <c r="F192" s="8" t="s">
        <v>1416</v>
      </c>
      <c r="G192" s="6" t="s">
        <v>38</v>
      </c>
      <c r="H192" s="6" t="s">
        <v>54</v>
      </c>
      <c r="I192" s="8" t="s">
        <v>247</v>
      </c>
      <c r="J192" s="9">
        <v>1</v>
      </c>
      <c r="K192" s="9">
        <v>299</v>
      </c>
      <c r="L192" s="9">
        <v>2024</v>
      </c>
      <c r="M192" s="8" t="s">
        <v>1417</v>
      </c>
      <c r="N192" s="8" t="s">
        <v>137</v>
      </c>
      <c r="O192" s="8" t="s">
        <v>521</v>
      </c>
      <c r="P192" s="6" t="s">
        <v>58</v>
      </c>
      <c r="Q192" s="8" t="s">
        <v>79</v>
      </c>
      <c r="R192" s="10" t="s">
        <v>1418</v>
      </c>
      <c r="S192" s="11" t="s">
        <v>1419</v>
      </c>
      <c r="T192" s="6"/>
      <c r="U192" s="27" t="str">
        <f>HYPERLINK("https://media.infra-m.ru/2124/2124810/cover/2124810.jpg", "Обложка")</f>
        <v>Обложка</v>
      </c>
      <c r="V192" s="27" t="str">
        <f>HYPERLINK("https://znanium.ru/catalog/product/2124810", "Ознакомиться")</f>
        <v>Ознакомиться</v>
      </c>
      <c r="W192" s="8" t="s">
        <v>1420</v>
      </c>
      <c r="X192" s="6"/>
      <c r="Y192" s="6" t="s">
        <v>30</v>
      </c>
      <c r="Z192" s="6"/>
      <c r="AA192" s="6"/>
      <c r="AB192" s="6" t="s">
        <v>670</v>
      </c>
    </row>
    <row r="193" spans="1:28" s="4" customFormat="1" ht="51.95" customHeight="1">
      <c r="A193" s="5">
        <v>0</v>
      </c>
      <c r="B193" s="6" t="s">
        <v>1421</v>
      </c>
      <c r="C193" s="7">
        <v>1024</v>
      </c>
      <c r="D193" s="8" t="s">
        <v>1422</v>
      </c>
      <c r="E193" s="8" t="s">
        <v>1423</v>
      </c>
      <c r="F193" s="8" t="s">
        <v>1424</v>
      </c>
      <c r="G193" s="6" t="s">
        <v>38</v>
      </c>
      <c r="H193" s="6" t="s">
        <v>54</v>
      </c>
      <c r="I193" s="8" t="s">
        <v>40</v>
      </c>
      <c r="J193" s="9">
        <v>1</v>
      </c>
      <c r="K193" s="9">
        <v>218</v>
      </c>
      <c r="L193" s="9">
        <v>2024</v>
      </c>
      <c r="M193" s="8" t="s">
        <v>1425</v>
      </c>
      <c r="N193" s="8" t="s">
        <v>56</v>
      </c>
      <c r="O193" s="8" t="s">
        <v>593</v>
      </c>
      <c r="P193" s="6" t="s">
        <v>44</v>
      </c>
      <c r="Q193" s="8" t="s">
        <v>45</v>
      </c>
      <c r="R193" s="10" t="s">
        <v>1426</v>
      </c>
      <c r="S193" s="11" t="s">
        <v>1427</v>
      </c>
      <c r="T193" s="6"/>
      <c r="U193" s="27" t="str">
        <f>HYPERLINK("https://media.infra-m.ru/2113/2113872/cover/2113872.jpg", "Обложка")</f>
        <v>Обложка</v>
      </c>
      <c r="V193" s="27" t="str">
        <f>HYPERLINK("https://znanium.ru/catalog/product/1845218", "Ознакомиться")</f>
        <v>Ознакомиться</v>
      </c>
      <c r="W193" s="8" t="s">
        <v>1191</v>
      </c>
      <c r="X193" s="6"/>
      <c r="Y193" s="6" t="s">
        <v>30</v>
      </c>
      <c r="Z193" s="6"/>
      <c r="AA193" s="6"/>
      <c r="AB193" s="6" t="s">
        <v>375</v>
      </c>
    </row>
    <row r="194" spans="1:28" s="4" customFormat="1" ht="51.95" customHeight="1">
      <c r="A194" s="5">
        <v>0</v>
      </c>
      <c r="B194" s="6" t="s">
        <v>1428</v>
      </c>
      <c r="C194" s="13">
        <v>850</v>
      </c>
      <c r="D194" s="8" t="s">
        <v>1429</v>
      </c>
      <c r="E194" s="8" t="s">
        <v>1423</v>
      </c>
      <c r="F194" s="8" t="s">
        <v>1424</v>
      </c>
      <c r="G194" s="6" t="s">
        <v>38</v>
      </c>
      <c r="H194" s="6" t="s">
        <v>54</v>
      </c>
      <c r="I194" s="8" t="s">
        <v>77</v>
      </c>
      <c r="J194" s="9">
        <v>1</v>
      </c>
      <c r="K194" s="9">
        <v>219</v>
      </c>
      <c r="L194" s="9">
        <v>2022</v>
      </c>
      <c r="M194" s="8" t="s">
        <v>1430</v>
      </c>
      <c r="N194" s="8" t="s">
        <v>56</v>
      </c>
      <c r="O194" s="8" t="s">
        <v>593</v>
      </c>
      <c r="P194" s="6" t="s">
        <v>44</v>
      </c>
      <c r="Q194" s="8" t="s">
        <v>79</v>
      </c>
      <c r="R194" s="10" t="s">
        <v>1431</v>
      </c>
      <c r="S194" s="11" t="s">
        <v>1432</v>
      </c>
      <c r="T194" s="6"/>
      <c r="U194" s="27" t="str">
        <f>HYPERLINK("https://media.infra-m.ru/1832/1832391/cover/1832391.jpg", "Обложка")</f>
        <v>Обложка</v>
      </c>
      <c r="V194" s="27" t="str">
        <f>HYPERLINK("https://znanium.ru/catalog/product/1832391", "Ознакомиться")</f>
        <v>Ознакомиться</v>
      </c>
      <c r="W194" s="8" t="s">
        <v>1191</v>
      </c>
      <c r="X194" s="6"/>
      <c r="Y194" s="6" t="s">
        <v>30</v>
      </c>
      <c r="Z194" s="6"/>
      <c r="AA194" s="6" t="s">
        <v>1220</v>
      </c>
      <c r="AB194" s="6" t="s">
        <v>92</v>
      </c>
    </row>
    <row r="195" spans="1:28" s="4" customFormat="1" ht="51.95" customHeight="1">
      <c r="A195" s="5">
        <v>0</v>
      </c>
      <c r="B195" s="6" t="s">
        <v>1433</v>
      </c>
      <c r="C195" s="7">
        <v>1710</v>
      </c>
      <c r="D195" s="8" t="s">
        <v>1434</v>
      </c>
      <c r="E195" s="8" t="s">
        <v>1435</v>
      </c>
      <c r="F195" s="8" t="s">
        <v>1436</v>
      </c>
      <c r="G195" s="6" t="s">
        <v>38</v>
      </c>
      <c r="H195" s="6" t="s">
        <v>54</v>
      </c>
      <c r="I195" s="8" t="s">
        <v>40</v>
      </c>
      <c r="J195" s="9">
        <v>1</v>
      </c>
      <c r="K195" s="9">
        <v>462</v>
      </c>
      <c r="L195" s="9">
        <v>2022</v>
      </c>
      <c r="M195" s="8" t="s">
        <v>1437</v>
      </c>
      <c r="N195" s="8" t="s">
        <v>56</v>
      </c>
      <c r="O195" s="8" t="s">
        <v>231</v>
      </c>
      <c r="P195" s="6" t="s">
        <v>44</v>
      </c>
      <c r="Q195" s="8" t="s">
        <v>45</v>
      </c>
      <c r="R195" s="10" t="s">
        <v>1438</v>
      </c>
      <c r="S195" s="11" t="s">
        <v>1439</v>
      </c>
      <c r="T195" s="6" t="s">
        <v>348</v>
      </c>
      <c r="U195" s="27" t="str">
        <f>HYPERLINK("https://media.infra-m.ru/1764/1764799/cover/1764799.jpg", "Обложка")</f>
        <v>Обложка</v>
      </c>
      <c r="V195" s="27" t="str">
        <f>HYPERLINK("https://znanium.ru/catalog/product/1764799", "Ознакомиться")</f>
        <v>Ознакомиться</v>
      </c>
      <c r="W195" s="8" t="s">
        <v>1420</v>
      </c>
      <c r="X195" s="6"/>
      <c r="Y195" s="6" t="s">
        <v>30</v>
      </c>
      <c r="Z195" s="6"/>
      <c r="AA195" s="6" t="s">
        <v>71</v>
      </c>
      <c r="AB195" s="6" t="s">
        <v>656</v>
      </c>
    </row>
    <row r="196" spans="1:28" s="4" customFormat="1" ht="51.95" customHeight="1">
      <c r="A196" s="5">
        <v>0</v>
      </c>
      <c r="B196" s="6" t="s">
        <v>1440</v>
      </c>
      <c r="C196" s="7">
        <v>1830</v>
      </c>
      <c r="D196" s="8" t="s">
        <v>1441</v>
      </c>
      <c r="E196" s="8" t="s">
        <v>1442</v>
      </c>
      <c r="F196" s="8" t="s">
        <v>1443</v>
      </c>
      <c r="G196" s="6" t="s">
        <v>38</v>
      </c>
      <c r="H196" s="6" t="s">
        <v>54</v>
      </c>
      <c r="I196" s="8" t="s">
        <v>394</v>
      </c>
      <c r="J196" s="9">
        <v>1</v>
      </c>
      <c r="K196" s="9">
        <v>389</v>
      </c>
      <c r="L196" s="9">
        <v>2024</v>
      </c>
      <c r="M196" s="8" t="s">
        <v>1444</v>
      </c>
      <c r="N196" s="8" t="s">
        <v>42</v>
      </c>
      <c r="O196" s="8" t="s">
        <v>405</v>
      </c>
      <c r="P196" s="6" t="s">
        <v>396</v>
      </c>
      <c r="Q196" s="8" t="s">
        <v>397</v>
      </c>
      <c r="R196" s="10" t="s">
        <v>1445</v>
      </c>
      <c r="S196" s="11"/>
      <c r="T196" s="6"/>
      <c r="U196" s="27" t="str">
        <f>HYPERLINK("https://media.infra-m.ru/2138/2138937/cover/2138937.jpg", "Обложка")</f>
        <v>Обложка</v>
      </c>
      <c r="V196" s="27" t="str">
        <f>HYPERLINK("https://znanium.ru/catalog/product/2138937", "Ознакомиться")</f>
        <v>Ознакомиться</v>
      </c>
      <c r="W196" s="8" t="s">
        <v>1446</v>
      </c>
      <c r="X196" s="6"/>
      <c r="Y196" s="6" t="s">
        <v>30</v>
      </c>
      <c r="Z196" s="6"/>
      <c r="AA196" s="6"/>
      <c r="AB196" s="6" t="s">
        <v>678</v>
      </c>
    </row>
    <row r="197" spans="1:28" s="4" customFormat="1" ht="51.95" customHeight="1">
      <c r="A197" s="5">
        <v>0</v>
      </c>
      <c r="B197" s="6" t="s">
        <v>1447</v>
      </c>
      <c r="C197" s="13">
        <v>770</v>
      </c>
      <c r="D197" s="8" t="s">
        <v>1448</v>
      </c>
      <c r="E197" s="8" t="s">
        <v>1449</v>
      </c>
      <c r="F197" s="8" t="s">
        <v>1450</v>
      </c>
      <c r="G197" s="6" t="s">
        <v>173</v>
      </c>
      <c r="H197" s="6" t="s">
        <v>54</v>
      </c>
      <c r="I197" s="8" t="s">
        <v>394</v>
      </c>
      <c r="J197" s="9">
        <v>1</v>
      </c>
      <c r="K197" s="9">
        <v>256</v>
      </c>
      <c r="L197" s="9">
        <v>2018</v>
      </c>
      <c r="M197" s="8" t="s">
        <v>1451</v>
      </c>
      <c r="N197" s="8" t="s">
        <v>42</v>
      </c>
      <c r="O197" s="8" t="s">
        <v>405</v>
      </c>
      <c r="P197" s="6" t="s">
        <v>396</v>
      </c>
      <c r="Q197" s="8" t="s">
        <v>397</v>
      </c>
      <c r="R197" s="10" t="s">
        <v>1445</v>
      </c>
      <c r="S197" s="11"/>
      <c r="T197" s="6"/>
      <c r="U197" s="27" t="str">
        <f>HYPERLINK("https://media.infra-m.ru/0961/0961435/cover/961435.jpg", "Обложка")</f>
        <v>Обложка</v>
      </c>
      <c r="V197" s="27" t="str">
        <f>HYPERLINK("https://znanium.ru/catalog/product/2138937", "Ознакомиться")</f>
        <v>Ознакомиться</v>
      </c>
      <c r="W197" s="8" t="s">
        <v>1446</v>
      </c>
      <c r="X197" s="6"/>
      <c r="Y197" s="6" t="s">
        <v>30</v>
      </c>
      <c r="Z197" s="6"/>
      <c r="AA197" s="6"/>
      <c r="AB197" s="6" t="s">
        <v>215</v>
      </c>
    </row>
    <row r="198" spans="1:28" s="4" customFormat="1" ht="51.95" customHeight="1">
      <c r="A198" s="5">
        <v>0</v>
      </c>
      <c r="B198" s="6" t="s">
        <v>1452</v>
      </c>
      <c r="C198" s="7">
        <v>1864.9</v>
      </c>
      <c r="D198" s="8" t="s">
        <v>1453</v>
      </c>
      <c r="E198" s="8" t="s">
        <v>1454</v>
      </c>
      <c r="F198" s="8" t="s">
        <v>1455</v>
      </c>
      <c r="G198" s="6" t="s">
        <v>38</v>
      </c>
      <c r="H198" s="6" t="s">
        <v>54</v>
      </c>
      <c r="I198" s="8" t="s">
        <v>40</v>
      </c>
      <c r="J198" s="9">
        <v>1</v>
      </c>
      <c r="K198" s="9">
        <v>412</v>
      </c>
      <c r="L198" s="9">
        <v>2023</v>
      </c>
      <c r="M198" s="8" t="s">
        <v>1456</v>
      </c>
      <c r="N198" s="8" t="s">
        <v>56</v>
      </c>
      <c r="O198" s="8" t="s">
        <v>57</v>
      </c>
      <c r="P198" s="6" t="s">
        <v>58</v>
      </c>
      <c r="Q198" s="8" t="s">
        <v>45</v>
      </c>
      <c r="R198" s="10" t="s">
        <v>1457</v>
      </c>
      <c r="S198" s="11" t="s">
        <v>1458</v>
      </c>
      <c r="T198" s="6"/>
      <c r="U198" s="27" t="str">
        <f>HYPERLINK("https://media.infra-m.ru/1940/1940017/cover/1940017.jpg", "Обложка")</f>
        <v>Обложка</v>
      </c>
      <c r="V198" s="27" t="str">
        <f>HYPERLINK("https://znanium.ru/catalog/product/1865505", "Ознакомиться")</f>
        <v>Ознакомиться</v>
      </c>
      <c r="W198" s="8" t="s">
        <v>61</v>
      </c>
      <c r="X198" s="6"/>
      <c r="Y198" s="6" t="s">
        <v>30</v>
      </c>
      <c r="Z198" s="6"/>
      <c r="AA198" s="6"/>
      <c r="AB198" s="6" t="s">
        <v>1459</v>
      </c>
    </row>
    <row r="199" spans="1:28" s="4" customFormat="1" ht="51.95" customHeight="1">
      <c r="A199" s="5">
        <v>0</v>
      </c>
      <c r="B199" s="6" t="s">
        <v>1460</v>
      </c>
      <c r="C199" s="7">
        <v>1550</v>
      </c>
      <c r="D199" s="8" t="s">
        <v>1461</v>
      </c>
      <c r="E199" s="8" t="s">
        <v>1462</v>
      </c>
      <c r="F199" s="8" t="s">
        <v>1463</v>
      </c>
      <c r="G199" s="6" t="s">
        <v>38</v>
      </c>
      <c r="H199" s="6" t="s">
        <v>54</v>
      </c>
      <c r="I199" s="8" t="s">
        <v>77</v>
      </c>
      <c r="J199" s="9">
        <v>1</v>
      </c>
      <c r="K199" s="9">
        <v>342</v>
      </c>
      <c r="L199" s="9">
        <v>2023</v>
      </c>
      <c r="M199" s="8" t="s">
        <v>1464</v>
      </c>
      <c r="N199" s="8" t="s">
        <v>264</v>
      </c>
      <c r="O199" s="8" t="s">
        <v>371</v>
      </c>
      <c r="P199" s="6" t="s">
        <v>44</v>
      </c>
      <c r="Q199" s="8" t="s">
        <v>79</v>
      </c>
      <c r="R199" s="10" t="s">
        <v>1465</v>
      </c>
      <c r="S199" s="11" t="s">
        <v>1466</v>
      </c>
      <c r="T199" s="6" t="s">
        <v>348</v>
      </c>
      <c r="U199" s="27" t="str">
        <f>HYPERLINK("https://media.infra-m.ru/1840/1840456/cover/1840456.jpg", "Обложка")</f>
        <v>Обложка</v>
      </c>
      <c r="V199" s="27" t="str">
        <f>HYPERLINK("https://znanium.ru/catalog/product/1840456", "Ознакомиться")</f>
        <v>Ознакомиться</v>
      </c>
      <c r="W199" s="8" t="s">
        <v>455</v>
      </c>
      <c r="X199" s="6"/>
      <c r="Y199" s="6" t="s">
        <v>30</v>
      </c>
      <c r="Z199" s="6"/>
      <c r="AA199" s="6"/>
      <c r="AB199" s="6" t="s">
        <v>375</v>
      </c>
    </row>
    <row r="200" spans="1:28" s="4" customFormat="1" ht="51.95" customHeight="1">
      <c r="A200" s="5">
        <v>0</v>
      </c>
      <c r="B200" s="6" t="s">
        <v>1467</v>
      </c>
      <c r="C200" s="7">
        <v>1460</v>
      </c>
      <c r="D200" s="8" t="s">
        <v>1468</v>
      </c>
      <c r="E200" s="8" t="s">
        <v>1469</v>
      </c>
      <c r="F200" s="8" t="s">
        <v>1470</v>
      </c>
      <c r="G200" s="6" t="s">
        <v>38</v>
      </c>
      <c r="H200" s="6" t="s">
        <v>113</v>
      </c>
      <c r="I200" s="8" t="s">
        <v>40</v>
      </c>
      <c r="J200" s="9">
        <v>1</v>
      </c>
      <c r="K200" s="9">
        <v>317</v>
      </c>
      <c r="L200" s="9">
        <v>2024</v>
      </c>
      <c r="M200" s="8" t="s">
        <v>1471</v>
      </c>
      <c r="N200" s="8" t="s">
        <v>56</v>
      </c>
      <c r="O200" s="8" t="s">
        <v>57</v>
      </c>
      <c r="P200" s="6" t="s">
        <v>44</v>
      </c>
      <c r="Q200" s="8" t="s">
        <v>45</v>
      </c>
      <c r="R200" s="10" t="s">
        <v>1472</v>
      </c>
      <c r="S200" s="11" t="s">
        <v>1473</v>
      </c>
      <c r="T200" s="6"/>
      <c r="U200" s="27" t="str">
        <f>HYPERLINK("https://media.infra-m.ru/2087/2087738/cover/2087738.jpg", "Обложка")</f>
        <v>Обложка</v>
      </c>
      <c r="V200" s="27" t="str">
        <f>HYPERLINK("https://znanium.ru/catalog/product/2087738", "Ознакомиться")</f>
        <v>Ознакомиться</v>
      </c>
      <c r="W200" s="8" t="s">
        <v>1474</v>
      </c>
      <c r="X200" s="6"/>
      <c r="Y200" s="6" t="s">
        <v>30</v>
      </c>
      <c r="Z200" s="6"/>
      <c r="AA200" s="6"/>
      <c r="AB200" s="6" t="s">
        <v>876</v>
      </c>
    </row>
    <row r="201" spans="1:28" s="4" customFormat="1" ht="51.95" customHeight="1">
      <c r="A201" s="5">
        <v>0</v>
      </c>
      <c r="B201" s="6" t="s">
        <v>1475</v>
      </c>
      <c r="C201" s="7">
        <v>1774</v>
      </c>
      <c r="D201" s="8" t="s">
        <v>1476</v>
      </c>
      <c r="E201" s="8" t="s">
        <v>1477</v>
      </c>
      <c r="F201" s="8" t="s">
        <v>1478</v>
      </c>
      <c r="G201" s="6" t="s">
        <v>173</v>
      </c>
      <c r="H201" s="6" t="s">
        <v>54</v>
      </c>
      <c r="I201" s="8" t="s">
        <v>77</v>
      </c>
      <c r="J201" s="9">
        <v>1</v>
      </c>
      <c r="K201" s="9">
        <v>848</v>
      </c>
      <c r="L201" s="9">
        <v>2024</v>
      </c>
      <c r="M201" s="8" t="s">
        <v>1479</v>
      </c>
      <c r="N201" s="8" t="s">
        <v>137</v>
      </c>
      <c r="O201" s="8" t="s">
        <v>521</v>
      </c>
      <c r="P201" s="6" t="s">
        <v>44</v>
      </c>
      <c r="Q201" s="8" t="s">
        <v>79</v>
      </c>
      <c r="R201" s="10" t="s">
        <v>1480</v>
      </c>
      <c r="S201" s="11" t="s">
        <v>1481</v>
      </c>
      <c r="T201" s="6"/>
      <c r="U201" s="27" t="str">
        <f>HYPERLINK("https://media.infra-m.ru/2107/2107424/cover/2107424.jpg", "Обложка")</f>
        <v>Обложка</v>
      </c>
      <c r="V201" s="27" t="str">
        <f>HYPERLINK("https://znanium.ru/catalog/product/2107424", "Ознакомиться")</f>
        <v>Ознакомиться</v>
      </c>
      <c r="W201" s="8" t="s">
        <v>274</v>
      </c>
      <c r="X201" s="6"/>
      <c r="Y201" s="6" t="s">
        <v>30</v>
      </c>
      <c r="Z201" s="6"/>
      <c r="AA201" s="6"/>
      <c r="AB201" s="6" t="s">
        <v>1482</v>
      </c>
    </row>
    <row r="202" spans="1:28" s="4" customFormat="1" ht="51.95" customHeight="1">
      <c r="A202" s="5">
        <v>0</v>
      </c>
      <c r="B202" s="6" t="s">
        <v>1483</v>
      </c>
      <c r="C202" s="7">
        <v>1530</v>
      </c>
      <c r="D202" s="8" t="s">
        <v>1484</v>
      </c>
      <c r="E202" s="8" t="s">
        <v>1485</v>
      </c>
      <c r="F202" s="8" t="s">
        <v>1486</v>
      </c>
      <c r="G202" s="6" t="s">
        <v>38</v>
      </c>
      <c r="H202" s="6" t="s">
        <v>54</v>
      </c>
      <c r="I202" s="8" t="s">
        <v>247</v>
      </c>
      <c r="J202" s="9">
        <v>1</v>
      </c>
      <c r="K202" s="9">
        <v>325</v>
      </c>
      <c r="L202" s="9">
        <v>2024</v>
      </c>
      <c r="M202" s="8" t="s">
        <v>1487</v>
      </c>
      <c r="N202" s="8" t="s">
        <v>56</v>
      </c>
      <c r="O202" s="8" t="s">
        <v>57</v>
      </c>
      <c r="P202" s="6" t="s">
        <v>58</v>
      </c>
      <c r="Q202" s="8" t="s">
        <v>79</v>
      </c>
      <c r="R202" s="10" t="s">
        <v>1488</v>
      </c>
      <c r="S202" s="11" t="s">
        <v>1489</v>
      </c>
      <c r="T202" s="6"/>
      <c r="U202" s="27" t="str">
        <f>HYPERLINK("https://media.infra-m.ru/2125/2125135/cover/2125135.jpg", "Обложка")</f>
        <v>Обложка</v>
      </c>
      <c r="V202" s="27" t="str">
        <f>HYPERLINK("https://znanium.ru/catalog/product/2125135", "Ознакомиться")</f>
        <v>Ознакомиться</v>
      </c>
      <c r="W202" s="8" t="s">
        <v>1346</v>
      </c>
      <c r="X202" s="6"/>
      <c r="Y202" s="6" t="s">
        <v>30</v>
      </c>
      <c r="Z202" s="6"/>
      <c r="AA202" s="6"/>
      <c r="AB202" s="6" t="s">
        <v>670</v>
      </c>
    </row>
    <row r="203" spans="1:28" s="4" customFormat="1" ht="51.95" customHeight="1">
      <c r="A203" s="5">
        <v>0</v>
      </c>
      <c r="B203" s="6" t="s">
        <v>1490</v>
      </c>
      <c r="C203" s="7">
        <v>1540</v>
      </c>
      <c r="D203" s="8" t="s">
        <v>1491</v>
      </c>
      <c r="E203" s="8" t="s">
        <v>1492</v>
      </c>
      <c r="F203" s="8" t="s">
        <v>1493</v>
      </c>
      <c r="G203" s="6" t="s">
        <v>38</v>
      </c>
      <c r="H203" s="6" t="s">
        <v>54</v>
      </c>
      <c r="I203" s="8" t="s">
        <v>40</v>
      </c>
      <c r="J203" s="9">
        <v>1</v>
      </c>
      <c r="K203" s="9">
        <v>334</v>
      </c>
      <c r="L203" s="9">
        <v>2024</v>
      </c>
      <c r="M203" s="8" t="s">
        <v>1494</v>
      </c>
      <c r="N203" s="8" t="s">
        <v>56</v>
      </c>
      <c r="O203" s="8" t="s">
        <v>286</v>
      </c>
      <c r="P203" s="6" t="s">
        <v>44</v>
      </c>
      <c r="Q203" s="8" t="s">
        <v>45</v>
      </c>
      <c r="R203" s="10" t="s">
        <v>1495</v>
      </c>
      <c r="S203" s="11" t="s">
        <v>1496</v>
      </c>
      <c r="T203" s="6"/>
      <c r="U203" s="27" t="str">
        <f>HYPERLINK("https://media.infra-m.ru/2129/2129208/cover/2129208.jpg", "Обложка")</f>
        <v>Обложка</v>
      </c>
      <c r="V203" s="27" t="str">
        <f>HYPERLINK("https://znanium.ru/catalog/product/2129208", "Ознакомиться")</f>
        <v>Ознакомиться</v>
      </c>
      <c r="W203" s="8" t="s">
        <v>891</v>
      </c>
      <c r="X203" s="6"/>
      <c r="Y203" s="6" t="s">
        <v>30</v>
      </c>
      <c r="Z203" s="6"/>
      <c r="AA203" s="6"/>
      <c r="AB203" s="6" t="s">
        <v>92</v>
      </c>
    </row>
    <row r="204" spans="1:28" s="4" customFormat="1" ht="51.95" customHeight="1">
      <c r="A204" s="5">
        <v>0</v>
      </c>
      <c r="B204" s="6" t="s">
        <v>1497</v>
      </c>
      <c r="C204" s="13">
        <v>924.9</v>
      </c>
      <c r="D204" s="8" t="s">
        <v>1498</v>
      </c>
      <c r="E204" s="8" t="s">
        <v>1499</v>
      </c>
      <c r="F204" s="8" t="s">
        <v>1410</v>
      </c>
      <c r="G204" s="6" t="s">
        <v>173</v>
      </c>
      <c r="H204" s="6" t="s">
        <v>54</v>
      </c>
      <c r="I204" s="8" t="s">
        <v>40</v>
      </c>
      <c r="J204" s="9">
        <v>1</v>
      </c>
      <c r="K204" s="9">
        <v>271</v>
      </c>
      <c r="L204" s="9">
        <v>2019</v>
      </c>
      <c r="M204" s="8" t="s">
        <v>1500</v>
      </c>
      <c r="N204" s="8" t="s">
        <v>56</v>
      </c>
      <c r="O204" s="8" t="s">
        <v>286</v>
      </c>
      <c r="P204" s="6" t="s">
        <v>44</v>
      </c>
      <c r="Q204" s="8" t="s">
        <v>45</v>
      </c>
      <c r="R204" s="10" t="s">
        <v>1495</v>
      </c>
      <c r="S204" s="11"/>
      <c r="T204" s="6"/>
      <c r="U204" s="27" t="str">
        <f>HYPERLINK("https://media.infra-m.ru/0994/0994459/cover/994459.jpg", "Обложка")</f>
        <v>Обложка</v>
      </c>
      <c r="V204" s="27" t="str">
        <f>HYPERLINK("https://znanium.ru/catalog/product/2129208", "Ознакомиться")</f>
        <v>Ознакомиться</v>
      </c>
      <c r="W204" s="8" t="s">
        <v>891</v>
      </c>
      <c r="X204" s="6"/>
      <c r="Y204" s="6" t="s">
        <v>30</v>
      </c>
      <c r="Z204" s="6"/>
      <c r="AA204" s="6"/>
      <c r="AB204" s="6" t="s">
        <v>340</v>
      </c>
    </row>
    <row r="205" spans="1:28" s="4" customFormat="1" ht="51.95" customHeight="1">
      <c r="A205" s="5">
        <v>0</v>
      </c>
      <c r="B205" s="6" t="s">
        <v>1501</v>
      </c>
      <c r="C205" s="7">
        <v>1297</v>
      </c>
      <c r="D205" s="8" t="s">
        <v>1502</v>
      </c>
      <c r="E205" s="8" t="s">
        <v>1503</v>
      </c>
      <c r="F205" s="8" t="s">
        <v>555</v>
      </c>
      <c r="G205" s="6" t="s">
        <v>76</v>
      </c>
      <c r="H205" s="6" t="s">
        <v>54</v>
      </c>
      <c r="I205" s="8" t="s">
        <v>40</v>
      </c>
      <c r="J205" s="9">
        <v>1</v>
      </c>
      <c r="K205" s="9">
        <v>132</v>
      </c>
      <c r="L205" s="9">
        <v>2024</v>
      </c>
      <c r="M205" s="8" t="s">
        <v>1504</v>
      </c>
      <c r="N205" s="8" t="s">
        <v>56</v>
      </c>
      <c r="O205" s="8" t="s">
        <v>286</v>
      </c>
      <c r="P205" s="6" t="s">
        <v>58</v>
      </c>
      <c r="Q205" s="8" t="s">
        <v>45</v>
      </c>
      <c r="R205" s="10" t="s">
        <v>1505</v>
      </c>
      <c r="S205" s="11" t="s">
        <v>1506</v>
      </c>
      <c r="T205" s="6"/>
      <c r="U205" s="27" t="str">
        <f>HYPERLINK("https://media.infra-m.ru/2136/2136796/cover/2136796.jpg", "Обложка")</f>
        <v>Обложка</v>
      </c>
      <c r="V205" s="27" t="str">
        <f>HYPERLINK("https://znanium.ru/catalog/product/1896828", "Ознакомиться")</f>
        <v>Ознакомиться</v>
      </c>
      <c r="W205" s="8" t="s">
        <v>550</v>
      </c>
      <c r="X205" s="6"/>
      <c r="Y205" s="6" t="s">
        <v>30</v>
      </c>
      <c r="Z205" s="6"/>
      <c r="AA205" s="6"/>
      <c r="AB205" s="6" t="s">
        <v>1507</v>
      </c>
    </row>
    <row r="206" spans="1:28" s="4" customFormat="1" ht="51.95" customHeight="1">
      <c r="A206" s="5">
        <v>0</v>
      </c>
      <c r="B206" s="6" t="s">
        <v>1508</v>
      </c>
      <c r="C206" s="7">
        <v>1500</v>
      </c>
      <c r="D206" s="8" t="s">
        <v>1509</v>
      </c>
      <c r="E206" s="8" t="s">
        <v>1510</v>
      </c>
      <c r="F206" s="8" t="s">
        <v>1511</v>
      </c>
      <c r="G206" s="6" t="s">
        <v>38</v>
      </c>
      <c r="H206" s="6" t="s">
        <v>54</v>
      </c>
      <c r="I206" s="8" t="s">
        <v>40</v>
      </c>
      <c r="J206" s="9">
        <v>1</v>
      </c>
      <c r="K206" s="9">
        <v>320</v>
      </c>
      <c r="L206" s="9">
        <v>2024</v>
      </c>
      <c r="M206" s="8" t="s">
        <v>1512</v>
      </c>
      <c r="N206" s="8" t="s">
        <v>56</v>
      </c>
      <c r="O206" s="8" t="s">
        <v>286</v>
      </c>
      <c r="P206" s="6" t="s">
        <v>44</v>
      </c>
      <c r="Q206" s="8" t="s">
        <v>45</v>
      </c>
      <c r="R206" s="10" t="s">
        <v>1513</v>
      </c>
      <c r="S206" s="11" t="s">
        <v>1514</v>
      </c>
      <c r="T206" s="6"/>
      <c r="U206" s="27" t="str">
        <f>HYPERLINK("https://media.infra-m.ru/2083/2083155/cover/2083155.jpg", "Обложка")</f>
        <v>Обложка</v>
      </c>
      <c r="V206" s="27" t="str">
        <f>HYPERLINK("https://znanium.ru/catalog/product/2083155", "Ознакомиться")</f>
        <v>Ознакомиться</v>
      </c>
      <c r="W206" s="8" t="s">
        <v>258</v>
      </c>
      <c r="X206" s="6"/>
      <c r="Y206" s="6" t="s">
        <v>30</v>
      </c>
      <c r="Z206" s="6"/>
      <c r="AA206" s="6"/>
      <c r="AB206" s="6" t="s">
        <v>242</v>
      </c>
    </row>
    <row r="207" spans="1:28" s="4" customFormat="1" ht="51.95" customHeight="1">
      <c r="A207" s="5">
        <v>0</v>
      </c>
      <c r="B207" s="6" t="s">
        <v>1515</v>
      </c>
      <c r="C207" s="7">
        <v>1774</v>
      </c>
      <c r="D207" s="8" t="s">
        <v>1516</v>
      </c>
      <c r="E207" s="8" t="s">
        <v>1510</v>
      </c>
      <c r="F207" s="8" t="s">
        <v>1517</v>
      </c>
      <c r="G207" s="6" t="s">
        <v>173</v>
      </c>
      <c r="H207" s="6" t="s">
        <v>54</v>
      </c>
      <c r="I207" s="8" t="s">
        <v>40</v>
      </c>
      <c r="J207" s="9">
        <v>1</v>
      </c>
      <c r="K207" s="9">
        <v>376</v>
      </c>
      <c r="L207" s="9">
        <v>2024</v>
      </c>
      <c r="M207" s="8" t="s">
        <v>1518</v>
      </c>
      <c r="N207" s="8" t="s">
        <v>56</v>
      </c>
      <c r="O207" s="8" t="s">
        <v>286</v>
      </c>
      <c r="P207" s="6" t="s">
        <v>58</v>
      </c>
      <c r="Q207" s="8" t="s">
        <v>45</v>
      </c>
      <c r="R207" s="10" t="s">
        <v>1519</v>
      </c>
      <c r="S207" s="11" t="s">
        <v>1520</v>
      </c>
      <c r="T207" s="6"/>
      <c r="U207" s="27" t="str">
        <f>HYPERLINK("https://media.infra-m.ru/2149/2149788/cover/2149788.jpg", "Обложка")</f>
        <v>Обложка</v>
      </c>
      <c r="V207" s="27" t="str">
        <f>HYPERLINK("https://znanium.ru/catalog/product/1190673", "Ознакомиться")</f>
        <v>Ознакомиться</v>
      </c>
      <c r="W207" s="8" t="s">
        <v>1521</v>
      </c>
      <c r="X207" s="6"/>
      <c r="Y207" s="6" t="s">
        <v>30</v>
      </c>
      <c r="Z207" s="6"/>
      <c r="AA207" s="6"/>
      <c r="AB207" s="6" t="s">
        <v>141</v>
      </c>
    </row>
    <row r="208" spans="1:28" s="4" customFormat="1" ht="51.95" customHeight="1">
      <c r="A208" s="5">
        <v>0</v>
      </c>
      <c r="B208" s="6" t="s">
        <v>1522</v>
      </c>
      <c r="C208" s="13">
        <v>679.9</v>
      </c>
      <c r="D208" s="8" t="s">
        <v>1523</v>
      </c>
      <c r="E208" s="8" t="s">
        <v>1524</v>
      </c>
      <c r="F208" s="8" t="s">
        <v>1525</v>
      </c>
      <c r="G208" s="6" t="s">
        <v>173</v>
      </c>
      <c r="H208" s="6" t="s">
        <v>54</v>
      </c>
      <c r="I208" s="8" t="s">
        <v>40</v>
      </c>
      <c r="J208" s="9">
        <v>20</v>
      </c>
      <c r="K208" s="9">
        <v>288</v>
      </c>
      <c r="L208" s="9">
        <v>2017</v>
      </c>
      <c r="M208" s="8" t="s">
        <v>1526</v>
      </c>
      <c r="N208" s="8" t="s">
        <v>56</v>
      </c>
      <c r="O208" s="8" t="s">
        <v>593</v>
      </c>
      <c r="P208" s="6" t="s">
        <v>44</v>
      </c>
      <c r="Q208" s="8" t="s">
        <v>45</v>
      </c>
      <c r="R208" s="10" t="s">
        <v>1527</v>
      </c>
      <c r="S208" s="11" t="s">
        <v>981</v>
      </c>
      <c r="T208" s="6"/>
      <c r="U208" s="27" t="str">
        <f>HYPERLINK("https://media.infra-m.ru/0559/0559371/cover/559371.jpg", "Обложка")</f>
        <v>Обложка</v>
      </c>
      <c r="V208" s="27" t="str">
        <f>HYPERLINK("https://znanium.ru/catalog/product/1989252", "Ознакомиться")</f>
        <v>Ознакомиться</v>
      </c>
      <c r="W208" s="8"/>
      <c r="X208" s="6"/>
      <c r="Y208" s="6" t="s">
        <v>30</v>
      </c>
      <c r="Z208" s="6"/>
      <c r="AA208" s="6"/>
      <c r="AB208" s="6" t="s">
        <v>833</v>
      </c>
    </row>
    <row r="209" spans="1:28" s="4" customFormat="1" ht="51.95" customHeight="1">
      <c r="A209" s="5">
        <v>0</v>
      </c>
      <c r="B209" s="6" t="s">
        <v>1528</v>
      </c>
      <c r="C209" s="7">
        <v>1550</v>
      </c>
      <c r="D209" s="8" t="s">
        <v>1529</v>
      </c>
      <c r="E209" s="8" t="s">
        <v>1530</v>
      </c>
      <c r="F209" s="8" t="s">
        <v>1531</v>
      </c>
      <c r="G209" s="6" t="s">
        <v>38</v>
      </c>
      <c r="H209" s="6" t="s">
        <v>54</v>
      </c>
      <c r="I209" s="8" t="s">
        <v>40</v>
      </c>
      <c r="J209" s="9">
        <v>1</v>
      </c>
      <c r="K209" s="9">
        <v>338</v>
      </c>
      <c r="L209" s="9">
        <v>2023</v>
      </c>
      <c r="M209" s="8" t="s">
        <v>1532</v>
      </c>
      <c r="N209" s="8" t="s">
        <v>56</v>
      </c>
      <c r="O209" s="8" t="s">
        <v>593</v>
      </c>
      <c r="P209" s="6" t="s">
        <v>44</v>
      </c>
      <c r="Q209" s="8" t="s">
        <v>45</v>
      </c>
      <c r="R209" s="10" t="s">
        <v>1527</v>
      </c>
      <c r="S209" s="11" t="s">
        <v>981</v>
      </c>
      <c r="T209" s="6"/>
      <c r="U209" s="27" t="str">
        <f>HYPERLINK("https://media.infra-m.ru/1989/1989252/cover/1989252.jpg", "Обложка")</f>
        <v>Обложка</v>
      </c>
      <c r="V209" s="27" t="str">
        <f>HYPERLINK("https://znanium.ru/catalog/product/1989252", "Ознакомиться")</f>
        <v>Ознакомиться</v>
      </c>
      <c r="W209" s="8"/>
      <c r="X209" s="6"/>
      <c r="Y209" s="6" t="s">
        <v>30</v>
      </c>
      <c r="Z209" s="6"/>
      <c r="AA209" s="6"/>
      <c r="AB209" s="6" t="s">
        <v>356</v>
      </c>
    </row>
    <row r="210" spans="1:28" s="4" customFormat="1" ht="51.95" customHeight="1">
      <c r="A210" s="5">
        <v>0</v>
      </c>
      <c r="B210" s="6" t="s">
        <v>1533</v>
      </c>
      <c r="C210" s="7">
        <v>1624.9</v>
      </c>
      <c r="D210" s="8" t="s">
        <v>1534</v>
      </c>
      <c r="E210" s="8" t="s">
        <v>1535</v>
      </c>
      <c r="F210" s="8" t="s">
        <v>1536</v>
      </c>
      <c r="G210" s="6" t="s">
        <v>38</v>
      </c>
      <c r="H210" s="6" t="s">
        <v>54</v>
      </c>
      <c r="I210" s="8" t="s">
        <v>1022</v>
      </c>
      <c r="J210" s="9">
        <v>1</v>
      </c>
      <c r="K210" s="9">
        <v>360</v>
      </c>
      <c r="L210" s="9">
        <v>2023</v>
      </c>
      <c r="M210" s="8" t="s">
        <v>1537</v>
      </c>
      <c r="N210" s="8" t="s">
        <v>56</v>
      </c>
      <c r="O210" s="8" t="s">
        <v>593</v>
      </c>
      <c r="P210" s="6" t="s">
        <v>58</v>
      </c>
      <c r="Q210" s="8" t="s">
        <v>88</v>
      </c>
      <c r="R210" s="10" t="s">
        <v>1538</v>
      </c>
      <c r="S210" s="11" t="s">
        <v>1539</v>
      </c>
      <c r="T210" s="6" t="s">
        <v>348</v>
      </c>
      <c r="U210" s="27" t="str">
        <f>HYPERLINK("https://media.infra-m.ru/1895/1895496/cover/1895496.jpg", "Обложка")</f>
        <v>Обложка</v>
      </c>
      <c r="V210" s="27" t="str">
        <f>HYPERLINK("https://znanium.ru/catalog/product/1895496", "Ознакомиться")</f>
        <v>Ознакомиться</v>
      </c>
      <c r="W210" s="8" t="s">
        <v>1540</v>
      </c>
      <c r="X210" s="6"/>
      <c r="Y210" s="6" t="s">
        <v>30</v>
      </c>
      <c r="Z210" s="6"/>
      <c r="AA210" s="6"/>
      <c r="AB210" s="6" t="s">
        <v>141</v>
      </c>
    </row>
    <row r="211" spans="1:28" s="4" customFormat="1" ht="44.1" customHeight="1">
      <c r="A211" s="5">
        <v>0</v>
      </c>
      <c r="B211" s="6" t="s">
        <v>1541</v>
      </c>
      <c r="C211" s="7">
        <v>1140</v>
      </c>
      <c r="D211" s="8" t="s">
        <v>1542</v>
      </c>
      <c r="E211" s="8" t="s">
        <v>1543</v>
      </c>
      <c r="F211" s="8" t="s">
        <v>1544</v>
      </c>
      <c r="G211" s="6" t="s">
        <v>38</v>
      </c>
      <c r="H211" s="6" t="s">
        <v>229</v>
      </c>
      <c r="I211" s="8" t="s">
        <v>40</v>
      </c>
      <c r="J211" s="9">
        <v>1</v>
      </c>
      <c r="K211" s="9">
        <v>242</v>
      </c>
      <c r="L211" s="9">
        <v>2024</v>
      </c>
      <c r="M211" s="8" t="s">
        <v>1545</v>
      </c>
      <c r="N211" s="8" t="s">
        <v>56</v>
      </c>
      <c r="O211" s="8" t="s">
        <v>231</v>
      </c>
      <c r="P211" s="6" t="s">
        <v>44</v>
      </c>
      <c r="Q211" s="8" t="s">
        <v>45</v>
      </c>
      <c r="R211" s="10" t="s">
        <v>1546</v>
      </c>
      <c r="S211" s="11"/>
      <c r="T211" s="6"/>
      <c r="U211" s="27" t="str">
        <f>HYPERLINK("https://media.infra-m.ru/2112/2112889/cover/2112889.jpg", "Обложка")</f>
        <v>Обложка</v>
      </c>
      <c r="V211" s="27" t="str">
        <f>HYPERLINK("https://znanium.ru/catalog/product/2112889", "Ознакомиться")</f>
        <v>Ознакомиться</v>
      </c>
      <c r="W211" s="8" t="s">
        <v>1059</v>
      </c>
      <c r="X211" s="6"/>
      <c r="Y211" s="6" t="s">
        <v>30</v>
      </c>
      <c r="Z211" s="6"/>
      <c r="AA211" s="6"/>
      <c r="AB211" s="6" t="s">
        <v>215</v>
      </c>
    </row>
    <row r="212" spans="1:28" s="4" customFormat="1" ht="51.95" customHeight="1">
      <c r="A212" s="5">
        <v>0</v>
      </c>
      <c r="B212" s="6" t="s">
        <v>1547</v>
      </c>
      <c r="C212" s="7">
        <v>1224</v>
      </c>
      <c r="D212" s="8" t="s">
        <v>1548</v>
      </c>
      <c r="E212" s="8" t="s">
        <v>1549</v>
      </c>
      <c r="F212" s="8" t="s">
        <v>1550</v>
      </c>
      <c r="G212" s="6" t="s">
        <v>38</v>
      </c>
      <c r="H212" s="6" t="s">
        <v>54</v>
      </c>
      <c r="I212" s="8" t="s">
        <v>40</v>
      </c>
      <c r="J212" s="9">
        <v>1</v>
      </c>
      <c r="K212" s="9">
        <v>260</v>
      </c>
      <c r="L212" s="9">
        <v>2024</v>
      </c>
      <c r="M212" s="8" t="s">
        <v>1551</v>
      </c>
      <c r="N212" s="8" t="s">
        <v>56</v>
      </c>
      <c r="O212" s="8" t="s">
        <v>231</v>
      </c>
      <c r="P212" s="6" t="s">
        <v>58</v>
      </c>
      <c r="Q212" s="8" t="s">
        <v>45</v>
      </c>
      <c r="R212" s="10" t="s">
        <v>1552</v>
      </c>
      <c r="S212" s="11" t="s">
        <v>1553</v>
      </c>
      <c r="T212" s="6"/>
      <c r="U212" s="27" t="str">
        <f>HYPERLINK("https://media.infra-m.ru/2131/2131620/cover/2131620.jpg", "Обложка")</f>
        <v>Обложка</v>
      </c>
      <c r="V212" s="27" t="str">
        <f>HYPERLINK("https://znanium.ru/catalog/product/1083293", "Ознакомиться")</f>
        <v>Ознакомиться</v>
      </c>
      <c r="W212" s="8" t="s">
        <v>241</v>
      </c>
      <c r="X212" s="6"/>
      <c r="Y212" s="6" t="s">
        <v>30</v>
      </c>
      <c r="Z212" s="6"/>
      <c r="AA212" s="6"/>
      <c r="AB212" s="6" t="s">
        <v>383</v>
      </c>
    </row>
    <row r="213" spans="1:28" s="4" customFormat="1" ht="51.95" customHeight="1">
      <c r="A213" s="5">
        <v>0</v>
      </c>
      <c r="B213" s="6" t="s">
        <v>1554</v>
      </c>
      <c r="C213" s="13">
        <v>820</v>
      </c>
      <c r="D213" s="8" t="s">
        <v>1555</v>
      </c>
      <c r="E213" s="8" t="s">
        <v>1543</v>
      </c>
      <c r="F213" s="8" t="s">
        <v>1556</v>
      </c>
      <c r="G213" s="6" t="s">
        <v>38</v>
      </c>
      <c r="H213" s="6" t="s">
        <v>113</v>
      </c>
      <c r="I213" s="8" t="s">
        <v>40</v>
      </c>
      <c r="J213" s="9">
        <v>1</v>
      </c>
      <c r="K213" s="9">
        <v>256</v>
      </c>
      <c r="L213" s="9">
        <v>2019</v>
      </c>
      <c r="M213" s="8" t="s">
        <v>1557</v>
      </c>
      <c r="N213" s="8" t="s">
        <v>56</v>
      </c>
      <c r="O213" s="8" t="s">
        <v>231</v>
      </c>
      <c r="P213" s="6" t="s">
        <v>58</v>
      </c>
      <c r="Q213" s="8" t="s">
        <v>45</v>
      </c>
      <c r="R213" s="10" t="s">
        <v>1552</v>
      </c>
      <c r="S213" s="11" t="s">
        <v>1558</v>
      </c>
      <c r="T213" s="6"/>
      <c r="U213" s="27" t="str">
        <f>HYPERLINK("https://media.infra-m.ru/1021/1021128/cover/1021128.jpg", "Обложка")</f>
        <v>Обложка</v>
      </c>
      <c r="V213" s="27" t="str">
        <f>HYPERLINK("https://znanium.ru/catalog/product/1083293", "Ознакомиться")</f>
        <v>Ознакомиться</v>
      </c>
      <c r="W213" s="8" t="s">
        <v>241</v>
      </c>
      <c r="X213" s="6"/>
      <c r="Y213" s="6" t="s">
        <v>30</v>
      </c>
      <c r="Z213" s="6"/>
      <c r="AA213" s="6"/>
      <c r="AB213" s="6" t="s">
        <v>1559</v>
      </c>
    </row>
    <row r="214" spans="1:28" s="4" customFormat="1" ht="51.95" customHeight="1">
      <c r="A214" s="5">
        <v>0</v>
      </c>
      <c r="B214" s="6" t="s">
        <v>1560</v>
      </c>
      <c r="C214" s="7">
        <v>1100</v>
      </c>
      <c r="D214" s="8" t="s">
        <v>1561</v>
      </c>
      <c r="E214" s="8" t="s">
        <v>1562</v>
      </c>
      <c r="F214" s="8" t="s">
        <v>845</v>
      </c>
      <c r="G214" s="6" t="s">
        <v>38</v>
      </c>
      <c r="H214" s="6" t="s">
        <v>54</v>
      </c>
      <c r="I214" s="8" t="s">
        <v>40</v>
      </c>
      <c r="J214" s="9">
        <v>1</v>
      </c>
      <c r="K214" s="9">
        <v>238</v>
      </c>
      <c r="L214" s="9">
        <v>2024</v>
      </c>
      <c r="M214" s="8" t="s">
        <v>1563</v>
      </c>
      <c r="N214" s="8" t="s">
        <v>137</v>
      </c>
      <c r="O214" s="8" t="s">
        <v>297</v>
      </c>
      <c r="P214" s="6" t="s">
        <v>58</v>
      </c>
      <c r="Q214" s="8" t="s">
        <v>45</v>
      </c>
      <c r="R214" s="10" t="s">
        <v>1564</v>
      </c>
      <c r="S214" s="11" t="s">
        <v>1565</v>
      </c>
      <c r="T214" s="6"/>
      <c r="U214" s="27" t="str">
        <f>HYPERLINK("https://media.infra-m.ru/2083/2083342/cover/2083342.jpg", "Обложка")</f>
        <v>Обложка</v>
      </c>
      <c r="V214" s="27" t="str">
        <f>HYPERLINK("https://znanium.ru/catalog/product/2083342", "Ознакомиться")</f>
        <v>Ознакомиться</v>
      </c>
      <c r="W214" s="8" t="s">
        <v>849</v>
      </c>
      <c r="X214" s="6"/>
      <c r="Y214" s="6" t="s">
        <v>30</v>
      </c>
      <c r="Z214" s="6"/>
      <c r="AA214" s="6"/>
      <c r="AB214" s="6" t="s">
        <v>208</v>
      </c>
    </row>
    <row r="215" spans="1:28" s="4" customFormat="1" ht="42" customHeight="1">
      <c r="A215" s="5">
        <v>0</v>
      </c>
      <c r="B215" s="6" t="s">
        <v>1566</v>
      </c>
      <c r="C215" s="7">
        <v>1020</v>
      </c>
      <c r="D215" s="8" t="s">
        <v>1567</v>
      </c>
      <c r="E215" s="8" t="s">
        <v>1568</v>
      </c>
      <c r="F215" s="8" t="s">
        <v>1569</v>
      </c>
      <c r="G215" s="6" t="s">
        <v>38</v>
      </c>
      <c r="H215" s="6" t="s">
        <v>229</v>
      </c>
      <c r="I215" s="8"/>
      <c r="J215" s="9">
        <v>1</v>
      </c>
      <c r="K215" s="9">
        <v>218</v>
      </c>
      <c r="L215" s="9">
        <v>2024</v>
      </c>
      <c r="M215" s="8" t="s">
        <v>1570</v>
      </c>
      <c r="N215" s="8" t="s">
        <v>56</v>
      </c>
      <c r="O215" s="8" t="s">
        <v>231</v>
      </c>
      <c r="P215" s="6" t="s">
        <v>44</v>
      </c>
      <c r="Q215" s="8" t="s">
        <v>45</v>
      </c>
      <c r="R215" s="10" t="s">
        <v>1571</v>
      </c>
      <c r="S215" s="11"/>
      <c r="T215" s="6"/>
      <c r="U215" s="27" t="str">
        <f>HYPERLINK("https://media.infra-m.ru/2145/2145819/cover/2145819.jpg", "Обложка")</f>
        <v>Обложка</v>
      </c>
      <c r="V215" s="27" t="str">
        <f>HYPERLINK("https://znanium.ru/catalog/product/2035597", "Ознакомиться")</f>
        <v>Ознакомиться</v>
      </c>
      <c r="W215" s="8" t="s">
        <v>1051</v>
      </c>
      <c r="X215" s="6"/>
      <c r="Y215" s="6" t="s">
        <v>30</v>
      </c>
      <c r="Z215" s="6"/>
      <c r="AA215" s="6"/>
      <c r="AB215" s="6" t="s">
        <v>215</v>
      </c>
    </row>
    <row r="216" spans="1:28" s="4" customFormat="1" ht="51.95" customHeight="1">
      <c r="A216" s="5">
        <v>0</v>
      </c>
      <c r="B216" s="6" t="s">
        <v>1572</v>
      </c>
      <c r="C216" s="7">
        <v>1064.9000000000001</v>
      </c>
      <c r="D216" s="8" t="s">
        <v>1573</v>
      </c>
      <c r="E216" s="8" t="s">
        <v>1574</v>
      </c>
      <c r="F216" s="8" t="s">
        <v>1575</v>
      </c>
      <c r="G216" s="6" t="s">
        <v>173</v>
      </c>
      <c r="H216" s="6" t="s">
        <v>54</v>
      </c>
      <c r="I216" s="8" t="s">
        <v>77</v>
      </c>
      <c r="J216" s="9">
        <v>1</v>
      </c>
      <c r="K216" s="9">
        <v>237</v>
      </c>
      <c r="L216" s="9">
        <v>2022</v>
      </c>
      <c r="M216" s="8" t="s">
        <v>1576</v>
      </c>
      <c r="N216" s="8" t="s">
        <v>264</v>
      </c>
      <c r="O216" s="8" t="s">
        <v>371</v>
      </c>
      <c r="P216" s="6" t="s">
        <v>58</v>
      </c>
      <c r="Q216" s="8" t="s">
        <v>79</v>
      </c>
      <c r="R216" s="10" t="s">
        <v>1577</v>
      </c>
      <c r="S216" s="11"/>
      <c r="T216" s="6"/>
      <c r="U216" s="27" t="str">
        <f>HYPERLINK("https://media.infra-m.ru/1891/1891649/cover/1891649.jpg", "Обложка")</f>
        <v>Обложка</v>
      </c>
      <c r="V216" s="27" t="str">
        <f>HYPERLINK("https://znanium.ru/catalog/product/1232333", "Ознакомиться")</f>
        <v>Ознакомиться</v>
      </c>
      <c r="W216" s="8" t="s">
        <v>61</v>
      </c>
      <c r="X216" s="6"/>
      <c r="Y216" s="6" t="s">
        <v>30</v>
      </c>
      <c r="Z216" s="6"/>
      <c r="AA216" s="6"/>
      <c r="AB216" s="6" t="s">
        <v>350</v>
      </c>
    </row>
    <row r="217" spans="1:28" s="4" customFormat="1" ht="51.95" customHeight="1">
      <c r="A217" s="5">
        <v>0</v>
      </c>
      <c r="B217" s="6" t="s">
        <v>1578</v>
      </c>
      <c r="C217" s="7">
        <v>2890</v>
      </c>
      <c r="D217" s="8" t="s">
        <v>1579</v>
      </c>
      <c r="E217" s="8" t="s">
        <v>1580</v>
      </c>
      <c r="F217" s="8" t="s">
        <v>1575</v>
      </c>
      <c r="G217" s="6" t="s">
        <v>173</v>
      </c>
      <c r="H217" s="6" t="s">
        <v>54</v>
      </c>
      <c r="I217" s="8" t="s">
        <v>247</v>
      </c>
      <c r="J217" s="9">
        <v>1</v>
      </c>
      <c r="K217" s="9">
        <v>613</v>
      </c>
      <c r="L217" s="9">
        <v>2024</v>
      </c>
      <c r="M217" s="8" t="s">
        <v>1581</v>
      </c>
      <c r="N217" s="8" t="s">
        <v>264</v>
      </c>
      <c r="O217" s="8" t="s">
        <v>371</v>
      </c>
      <c r="P217" s="6" t="s">
        <v>58</v>
      </c>
      <c r="Q217" s="8" t="s">
        <v>79</v>
      </c>
      <c r="R217" s="10" t="s">
        <v>1582</v>
      </c>
      <c r="S217" s="11" t="s">
        <v>1583</v>
      </c>
      <c r="T217" s="6"/>
      <c r="U217" s="27" t="str">
        <f>HYPERLINK("https://media.infra-m.ru/2100/2100469/cover/2100469.jpg", "Обложка")</f>
        <v>Обложка</v>
      </c>
      <c r="V217" s="27" t="str">
        <f>HYPERLINK("https://znanium.ru/catalog/product/2100469", "Ознакомиться")</f>
        <v>Ознакомиться</v>
      </c>
      <c r="W217" s="8" t="s">
        <v>61</v>
      </c>
      <c r="X217" s="6"/>
      <c r="Y217" s="6" t="s">
        <v>30</v>
      </c>
      <c r="Z217" s="6"/>
      <c r="AA217" s="6"/>
      <c r="AB217" s="6" t="s">
        <v>350</v>
      </c>
    </row>
    <row r="218" spans="1:28" s="4" customFormat="1" ht="51.95" customHeight="1">
      <c r="A218" s="5">
        <v>0</v>
      </c>
      <c r="B218" s="6" t="s">
        <v>1584</v>
      </c>
      <c r="C218" s="7">
        <v>1884</v>
      </c>
      <c r="D218" s="8" t="s">
        <v>1585</v>
      </c>
      <c r="E218" s="8" t="s">
        <v>1586</v>
      </c>
      <c r="F218" s="8" t="s">
        <v>1587</v>
      </c>
      <c r="G218" s="6" t="s">
        <v>38</v>
      </c>
      <c r="H218" s="6" t="s">
        <v>113</v>
      </c>
      <c r="I218" s="8" t="s">
        <v>40</v>
      </c>
      <c r="J218" s="9">
        <v>1</v>
      </c>
      <c r="K218" s="9">
        <v>400</v>
      </c>
      <c r="L218" s="9">
        <v>2024</v>
      </c>
      <c r="M218" s="8" t="s">
        <v>1588</v>
      </c>
      <c r="N218" s="8" t="s">
        <v>56</v>
      </c>
      <c r="O218" s="8" t="s">
        <v>231</v>
      </c>
      <c r="P218" s="6" t="s">
        <v>58</v>
      </c>
      <c r="Q218" s="8" t="s">
        <v>45</v>
      </c>
      <c r="R218" s="10" t="s">
        <v>239</v>
      </c>
      <c r="S218" s="11" t="s">
        <v>1589</v>
      </c>
      <c r="T218" s="6"/>
      <c r="U218" s="27" t="str">
        <f>HYPERLINK("https://media.infra-m.ru/2141/2141565/cover/2141565.jpg", "Обложка")</f>
        <v>Обложка</v>
      </c>
      <c r="V218" s="27" t="str">
        <f>HYPERLINK("https://znanium.ru/catalog/product/2136716", "Ознакомиться")</f>
        <v>Ознакомиться</v>
      </c>
      <c r="W218" s="8" t="s">
        <v>241</v>
      </c>
      <c r="X218" s="6"/>
      <c r="Y218" s="6" t="s">
        <v>30</v>
      </c>
      <c r="Z218" s="6"/>
      <c r="AA218" s="6" t="s">
        <v>71</v>
      </c>
      <c r="AB218" s="6" t="s">
        <v>300</v>
      </c>
    </row>
    <row r="219" spans="1:28" s="4" customFormat="1" ht="51.95" customHeight="1">
      <c r="A219" s="5">
        <v>0</v>
      </c>
      <c r="B219" s="6" t="s">
        <v>1590</v>
      </c>
      <c r="C219" s="7">
        <v>1654</v>
      </c>
      <c r="D219" s="8" t="s">
        <v>1591</v>
      </c>
      <c r="E219" s="8" t="s">
        <v>1592</v>
      </c>
      <c r="F219" s="8" t="s">
        <v>1593</v>
      </c>
      <c r="G219" s="6" t="s">
        <v>38</v>
      </c>
      <c r="H219" s="6" t="s">
        <v>39</v>
      </c>
      <c r="I219" s="8" t="s">
        <v>114</v>
      </c>
      <c r="J219" s="9">
        <v>1</v>
      </c>
      <c r="K219" s="9">
        <v>352</v>
      </c>
      <c r="L219" s="9">
        <v>2024</v>
      </c>
      <c r="M219" s="8" t="s">
        <v>1594</v>
      </c>
      <c r="N219" s="8" t="s">
        <v>56</v>
      </c>
      <c r="O219" s="8" t="s">
        <v>57</v>
      </c>
      <c r="P219" s="6" t="s">
        <v>58</v>
      </c>
      <c r="Q219" s="8" t="s">
        <v>45</v>
      </c>
      <c r="R219" s="10" t="s">
        <v>1595</v>
      </c>
      <c r="S219" s="11" t="s">
        <v>1596</v>
      </c>
      <c r="T219" s="6"/>
      <c r="U219" s="27" t="str">
        <f>HYPERLINK("https://media.infra-m.ru/2140/2140829/cover/2140829.jpg", "Обложка")</f>
        <v>Обложка</v>
      </c>
      <c r="V219" s="27" t="str">
        <f>HYPERLINK("https://znanium.ru/catalog/product/2124362", "Ознакомиться")</f>
        <v>Ознакомиться</v>
      </c>
      <c r="W219" s="8" t="s">
        <v>61</v>
      </c>
      <c r="X219" s="6"/>
      <c r="Y219" s="6" t="s">
        <v>30</v>
      </c>
      <c r="Z219" s="6"/>
      <c r="AA219" s="6"/>
      <c r="AB219" s="6" t="s">
        <v>551</v>
      </c>
    </row>
    <row r="220" spans="1:28" s="4" customFormat="1" ht="51.95" customHeight="1">
      <c r="A220" s="5">
        <v>0</v>
      </c>
      <c r="B220" s="6" t="s">
        <v>1597</v>
      </c>
      <c r="C220" s="7">
        <v>2537</v>
      </c>
      <c r="D220" s="8" t="s">
        <v>1598</v>
      </c>
      <c r="E220" s="8" t="s">
        <v>1599</v>
      </c>
      <c r="F220" s="8" t="s">
        <v>1600</v>
      </c>
      <c r="G220" s="6" t="s">
        <v>38</v>
      </c>
      <c r="H220" s="6" t="s">
        <v>54</v>
      </c>
      <c r="I220" s="8" t="s">
        <v>40</v>
      </c>
      <c r="J220" s="9">
        <v>1</v>
      </c>
      <c r="K220" s="9">
        <v>425</v>
      </c>
      <c r="L220" s="9">
        <v>2024</v>
      </c>
      <c r="M220" s="8" t="s">
        <v>1601</v>
      </c>
      <c r="N220" s="8" t="s">
        <v>56</v>
      </c>
      <c r="O220" s="8" t="s">
        <v>116</v>
      </c>
      <c r="P220" s="6" t="s">
        <v>44</v>
      </c>
      <c r="Q220" s="8" t="s">
        <v>45</v>
      </c>
      <c r="R220" s="10" t="s">
        <v>1602</v>
      </c>
      <c r="S220" s="11" t="s">
        <v>1603</v>
      </c>
      <c r="T220" s="6"/>
      <c r="U220" s="27" t="str">
        <f>HYPERLINK("https://media.infra-m.ru/2125/2125618/cover/2125618.jpg", "Обложка")</f>
        <v>Обложка</v>
      </c>
      <c r="V220" s="27" t="str">
        <f>HYPERLINK("https://znanium.ru/catalog/product/1138858", "Ознакомиться")</f>
        <v>Ознакомиться</v>
      </c>
      <c r="W220" s="8" t="s">
        <v>507</v>
      </c>
      <c r="X220" s="6"/>
      <c r="Y220" s="6" t="s">
        <v>30</v>
      </c>
      <c r="Z220" s="6"/>
      <c r="AA220" s="6" t="s">
        <v>71</v>
      </c>
      <c r="AB220" s="6" t="s">
        <v>141</v>
      </c>
    </row>
    <row r="221" spans="1:28" s="4" customFormat="1" ht="44.1" customHeight="1">
      <c r="A221" s="5">
        <v>0</v>
      </c>
      <c r="B221" s="6" t="s">
        <v>1604</v>
      </c>
      <c r="C221" s="13">
        <v>284.89999999999998</v>
      </c>
      <c r="D221" s="8" t="s">
        <v>1605</v>
      </c>
      <c r="E221" s="8" t="s">
        <v>1606</v>
      </c>
      <c r="F221" s="8" t="s">
        <v>1241</v>
      </c>
      <c r="G221" s="6" t="s">
        <v>76</v>
      </c>
      <c r="H221" s="6" t="s">
        <v>39</v>
      </c>
      <c r="I221" s="8" t="s">
        <v>77</v>
      </c>
      <c r="J221" s="9">
        <v>1</v>
      </c>
      <c r="K221" s="9">
        <v>104</v>
      </c>
      <c r="L221" s="9">
        <v>2017</v>
      </c>
      <c r="M221" s="8" t="s">
        <v>1607</v>
      </c>
      <c r="N221" s="8" t="s">
        <v>56</v>
      </c>
      <c r="O221" s="8" t="s">
        <v>116</v>
      </c>
      <c r="P221" s="6" t="s">
        <v>58</v>
      </c>
      <c r="Q221" s="8" t="s">
        <v>79</v>
      </c>
      <c r="R221" s="10" t="s">
        <v>1608</v>
      </c>
      <c r="S221" s="11"/>
      <c r="T221" s="6"/>
      <c r="U221" s="12"/>
      <c r="V221" s="27" t="str">
        <f>HYPERLINK("https://znanium.ru/catalog/product/2123406", "Ознакомиться")</f>
        <v>Ознакомиться</v>
      </c>
      <c r="W221" s="8" t="s">
        <v>91</v>
      </c>
      <c r="X221" s="6"/>
      <c r="Y221" s="6" t="s">
        <v>30</v>
      </c>
      <c r="Z221" s="6"/>
      <c r="AA221" s="6"/>
      <c r="AB221" s="6" t="s">
        <v>82</v>
      </c>
    </row>
    <row r="222" spans="1:28" s="4" customFormat="1" ht="51.95" customHeight="1">
      <c r="A222" s="5">
        <v>0</v>
      </c>
      <c r="B222" s="6" t="s">
        <v>1609</v>
      </c>
      <c r="C222" s="13">
        <v>570</v>
      </c>
      <c r="D222" s="8" t="s">
        <v>1610</v>
      </c>
      <c r="E222" s="8" t="s">
        <v>1611</v>
      </c>
      <c r="F222" s="8" t="s">
        <v>1612</v>
      </c>
      <c r="G222" s="6" t="s">
        <v>76</v>
      </c>
      <c r="H222" s="6" t="s">
        <v>39</v>
      </c>
      <c r="I222" s="8"/>
      <c r="J222" s="9">
        <v>1</v>
      </c>
      <c r="K222" s="9">
        <v>107</v>
      </c>
      <c r="L222" s="9">
        <v>2023</v>
      </c>
      <c r="M222" s="8" t="s">
        <v>1613</v>
      </c>
      <c r="N222" s="8" t="s">
        <v>264</v>
      </c>
      <c r="O222" s="8" t="s">
        <v>371</v>
      </c>
      <c r="P222" s="6" t="s">
        <v>58</v>
      </c>
      <c r="Q222" s="8" t="s">
        <v>88</v>
      </c>
      <c r="R222" s="10" t="s">
        <v>1608</v>
      </c>
      <c r="S222" s="11" t="s">
        <v>1614</v>
      </c>
      <c r="T222" s="6"/>
      <c r="U222" s="27" t="str">
        <f>HYPERLINK("https://media.infra-m.ru/2123/2123406/cover/2123406.jpg", "Обложка")</f>
        <v>Обложка</v>
      </c>
      <c r="V222" s="27" t="str">
        <f>HYPERLINK("https://znanium.ru/catalog/product/2123406", "Ознакомиться")</f>
        <v>Ознакомиться</v>
      </c>
      <c r="W222" s="8" t="s">
        <v>91</v>
      </c>
      <c r="X222" s="6"/>
      <c r="Y222" s="6" t="s">
        <v>30</v>
      </c>
      <c r="Z222" s="6"/>
      <c r="AA222" s="6"/>
      <c r="AB222" s="6" t="s">
        <v>130</v>
      </c>
    </row>
    <row r="223" spans="1:28" s="4" customFormat="1" ht="51.95" customHeight="1">
      <c r="A223" s="5">
        <v>0</v>
      </c>
      <c r="B223" s="6" t="s">
        <v>1615</v>
      </c>
      <c r="C223" s="13">
        <v>634.9</v>
      </c>
      <c r="D223" s="8" t="s">
        <v>1616</v>
      </c>
      <c r="E223" s="8" t="s">
        <v>1617</v>
      </c>
      <c r="F223" s="8" t="s">
        <v>1618</v>
      </c>
      <c r="G223" s="6" t="s">
        <v>76</v>
      </c>
      <c r="H223" s="6" t="s">
        <v>135</v>
      </c>
      <c r="I223" s="8" t="s">
        <v>1619</v>
      </c>
      <c r="J223" s="9">
        <v>1</v>
      </c>
      <c r="K223" s="9">
        <v>288</v>
      </c>
      <c r="L223" s="9">
        <v>2020</v>
      </c>
      <c r="M223" s="8" t="s">
        <v>1620</v>
      </c>
      <c r="N223" s="8" t="s">
        <v>137</v>
      </c>
      <c r="O223" s="8" t="s">
        <v>521</v>
      </c>
      <c r="P223" s="6" t="s">
        <v>44</v>
      </c>
      <c r="Q223" s="8" t="s">
        <v>79</v>
      </c>
      <c r="R223" s="10" t="s">
        <v>1621</v>
      </c>
      <c r="S223" s="11" t="s">
        <v>1622</v>
      </c>
      <c r="T223" s="6"/>
      <c r="U223" s="27" t="str">
        <f>HYPERLINK("https://media.infra-m.ru/1047/1047094/cover/1047094.jpg", "Обложка")</f>
        <v>Обложка</v>
      </c>
      <c r="V223" s="27" t="str">
        <f>HYPERLINK("https://znanium.ru/catalog/product/1047094", "Ознакомиться")</f>
        <v>Ознакомиться</v>
      </c>
      <c r="W223" s="8" t="s">
        <v>747</v>
      </c>
      <c r="X223" s="6"/>
      <c r="Y223" s="6" t="s">
        <v>30</v>
      </c>
      <c r="Z223" s="6"/>
      <c r="AA223" s="6"/>
      <c r="AB223" s="6" t="s">
        <v>571</v>
      </c>
    </row>
    <row r="224" spans="1:28" s="4" customFormat="1" ht="51.95" customHeight="1">
      <c r="A224" s="5">
        <v>0</v>
      </c>
      <c r="B224" s="6" t="s">
        <v>1623</v>
      </c>
      <c r="C224" s="7">
        <v>1540</v>
      </c>
      <c r="D224" s="8" t="s">
        <v>1624</v>
      </c>
      <c r="E224" s="8" t="s">
        <v>1617</v>
      </c>
      <c r="F224" s="8" t="s">
        <v>1625</v>
      </c>
      <c r="G224" s="6" t="s">
        <v>38</v>
      </c>
      <c r="H224" s="6" t="s">
        <v>113</v>
      </c>
      <c r="I224" s="8" t="s">
        <v>40</v>
      </c>
      <c r="J224" s="9">
        <v>1</v>
      </c>
      <c r="K224" s="9">
        <v>336</v>
      </c>
      <c r="L224" s="9">
        <v>2023</v>
      </c>
      <c r="M224" s="8" t="s">
        <v>1626</v>
      </c>
      <c r="N224" s="8" t="s">
        <v>137</v>
      </c>
      <c r="O224" s="8" t="s">
        <v>521</v>
      </c>
      <c r="P224" s="6" t="s">
        <v>44</v>
      </c>
      <c r="Q224" s="8" t="s">
        <v>45</v>
      </c>
      <c r="R224" s="10" t="s">
        <v>1627</v>
      </c>
      <c r="S224" s="11" t="s">
        <v>1628</v>
      </c>
      <c r="T224" s="6"/>
      <c r="U224" s="27" t="str">
        <f>HYPERLINK("https://media.infra-m.ru/1941/1941732/cover/1941732.jpg", "Обложка")</f>
        <v>Обложка</v>
      </c>
      <c r="V224" s="27" t="str">
        <f>HYPERLINK("https://znanium.ru/catalog/product/1044004", "Ознакомиться")</f>
        <v>Ознакомиться</v>
      </c>
      <c r="W224" s="8" t="s">
        <v>1629</v>
      </c>
      <c r="X224" s="6"/>
      <c r="Y224" s="6" t="s">
        <v>30</v>
      </c>
      <c r="Z224" s="6"/>
      <c r="AA224" s="6"/>
      <c r="AB224" s="6" t="s">
        <v>1149</v>
      </c>
    </row>
    <row r="225" spans="1:28" s="4" customFormat="1" ht="51.95" customHeight="1">
      <c r="A225" s="5">
        <v>0</v>
      </c>
      <c r="B225" s="6" t="s">
        <v>1630</v>
      </c>
      <c r="C225" s="13">
        <v>890</v>
      </c>
      <c r="D225" s="8" t="s">
        <v>1631</v>
      </c>
      <c r="E225" s="8" t="s">
        <v>1632</v>
      </c>
      <c r="F225" s="8" t="s">
        <v>1633</v>
      </c>
      <c r="G225" s="6" t="s">
        <v>38</v>
      </c>
      <c r="H225" s="6" t="s">
        <v>54</v>
      </c>
      <c r="I225" s="8" t="s">
        <v>40</v>
      </c>
      <c r="J225" s="9">
        <v>1</v>
      </c>
      <c r="K225" s="9">
        <v>197</v>
      </c>
      <c r="L225" s="9">
        <v>2023</v>
      </c>
      <c r="M225" s="8" t="s">
        <v>1634</v>
      </c>
      <c r="N225" s="8" t="s">
        <v>1635</v>
      </c>
      <c r="O225" s="8" t="s">
        <v>1636</v>
      </c>
      <c r="P225" s="6" t="s">
        <v>1637</v>
      </c>
      <c r="Q225" s="8" t="s">
        <v>45</v>
      </c>
      <c r="R225" s="10" t="s">
        <v>1638</v>
      </c>
      <c r="S225" s="11" t="s">
        <v>1639</v>
      </c>
      <c r="T225" s="6"/>
      <c r="U225" s="27" t="str">
        <f>HYPERLINK("https://media.infra-m.ru/1905/1905554/cover/1905554.jpg", "Обложка")</f>
        <v>Обложка</v>
      </c>
      <c r="V225" s="27" t="str">
        <f>HYPERLINK("https://znanium.ru/catalog/product/1905554", "Ознакомиться")</f>
        <v>Ознакомиться</v>
      </c>
      <c r="W225" s="8" t="s">
        <v>1640</v>
      </c>
      <c r="X225" s="6"/>
      <c r="Y225" s="6" t="s">
        <v>30</v>
      </c>
      <c r="Z225" s="6"/>
      <c r="AA225" s="6" t="s">
        <v>71</v>
      </c>
      <c r="AB225" s="6" t="s">
        <v>208</v>
      </c>
    </row>
    <row r="226" spans="1:28" s="4" customFormat="1" ht="51.95" customHeight="1">
      <c r="A226" s="5">
        <v>0</v>
      </c>
      <c r="B226" s="6" t="s">
        <v>1641</v>
      </c>
      <c r="C226" s="7">
        <v>1320</v>
      </c>
      <c r="D226" s="8" t="s">
        <v>1642</v>
      </c>
      <c r="E226" s="8" t="s">
        <v>1643</v>
      </c>
      <c r="F226" s="8" t="s">
        <v>1644</v>
      </c>
      <c r="G226" s="6" t="s">
        <v>38</v>
      </c>
      <c r="H226" s="6" t="s">
        <v>54</v>
      </c>
      <c r="I226" s="8" t="s">
        <v>247</v>
      </c>
      <c r="J226" s="9">
        <v>1</v>
      </c>
      <c r="K226" s="9">
        <v>291</v>
      </c>
      <c r="L226" s="9">
        <v>2023</v>
      </c>
      <c r="M226" s="8" t="s">
        <v>1645</v>
      </c>
      <c r="N226" s="8" t="s">
        <v>42</v>
      </c>
      <c r="O226" s="8" t="s">
        <v>1145</v>
      </c>
      <c r="P226" s="6" t="s">
        <v>44</v>
      </c>
      <c r="Q226" s="8" t="s">
        <v>88</v>
      </c>
      <c r="R226" s="10" t="s">
        <v>1646</v>
      </c>
      <c r="S226" s="11" t="s">
        <v>1647</v>
      </c>
      <c r="T226" s="6" t="s">
        <v>348</v>
      </c>
      <c r="U226" s="27" t="str">
        <f>HYPERLINK("https://media.infra-m.ru/2040/2040002/cover/2040002.jpg", "Обложка")</f>
        <v>Обложка</v>
      </c>
      <c r="V226" s="27" t="str">
        <f>HYPERLINK("https://znanium.ru/catalog/product/2040002", "Ознакомиться")</f>
        <v>Ознакомиться</v>
      </c>
      <c r="W226" s="8" t="s">
        <v>714</v>
      </c>
      <c r="X226" s="6"/>
      <c r="Y226" s="6" t="s">
        <v>30</v>
      </c>
      <c r="Z226" s="6"/>
      <c r="AA226" s="6"/>
      <c r="AB226" s="6" t="s">
        <v>300</v>
      </c>
    </row>
    <row r="227" spans="1:28" s="4" customFormat="1" ht="51.95" customHeight="1">
      <c r="A227" s="5">
        <v>0</v>
      </c>
      <c r="B227" s="6" t="s">
        <v>1648</v>
      </c>
      <c r="C227" s="7">
        <v>1200</v>
      </c>
      <c r="D227" s="8" t="s">
        <v>1649</v>
      </c>
      <c r="E227" s="8" t="s">
        <v>1650</v>
      </c>
      <c r="F227" s="8" t="s">
        <v>1651</v>
      </c>
      <c r="G227" s="6" t="s">
        <v>173</v>
      </c>
      <c r="H227" s="6" t="s">
        <v>54</v>
      </c>
      <c r="I227" s="8" t="s">
        <v>1652</v>
      </c>
      <c r="J227" s="9">
        <v>1</v>
      </c>
      <c r="K227" s="9">
        <v>258</v>
      </c>
      <c r="L227" s="9">
        <v>2024</v>
      </c>
      <c r="M227" s="8" t="s">
        <v>1653</v>
      </c>
      <c r="N227" s="8" t="s">
        <v>137</v>
      </c>
      <c r="O227" s="8" t="s">
        <v>521</v>
      </c>
      <c r="P227" s="6" t="s">
        <v>44</v>
      </c>
      <c r="Q227" s="8" t="s">
        <v>1654</v>
      </c>
      <c r="R227" s="10" t="s">
        <v>1655</v>
      </c>
      <c r="S227" s="11" t="s">
        <v>1656</v>
      </c>
      <c r="T227" s="6"/>
      <c r="U227" s="27" t="str">
        <f>HYPERLINK("https://media.infra-m.ru/1989/1989243/cover/1989243.jpg", "Обложка")</f>
        <v>Обложка</v>
      </c>
      <c r="V227" s="27" t="str">
        <f>HYPERLINK("https://znanium.ru/catalog/product/1989243", "Ознакомиться")</f>
        <v>Ознакомиться</v>
      </c>
      <c r="W227" s="8" t="s">
        <v>274</v>
      </c>
      <c r="X227" s="6" t="s">
        <v>1657</v>
      </c>
      <c r="Y227" s="6" t="s">
        <v>30</v>
      </c>
      <c r="Z227" s="6"/>
      <c r="AA227" s="6"/>
      <c r="AB227" s="6" t="s">
        <v>62</v>
      </c>
    </row>
    <row r="228" spans="1:28" s="4" customFormat="1" ht="51.95" customHeight="1">
      <c r="A228" s="5">
        <v>0</v>
      </c>
      <c r="B228" s="6" t="s">
        <v>1658</v>
      </c>
      <c r="C228" s="13">
        <v>990</v>
      </c>
      <c r="D228" s="8" t="s">
        <v>1659</v>
      </c>
      <c r="E228" s="8" t="s">
        <v>1660</v>
      </c>
      <c r="F228" s="8" t="s">
        <v>1661</v>
      </c>
      <c r="G228" s="6" t="s">
        <v>38</v>
      </c>
      <c r="H228" s="6" t="s">
        <v>54</v>
      </c>
      <c r="I228" s="8" t="s">
        <v>40</v>
      </c>
      <c r="J228" s="9">
        <v>1</v>
      </c>
      <c r="K228" s="9">
        <v>218</v>
      </c>
      <c r="L228" s="9">
        <v>2023</v>
      </c>
      <c r="M228" s="8" t="s">
        <v>1662</v>
      </c>
      <c r="N228" s="8" t="s">
        <v>56</v>
      </c>
      <c r="O228" s="8" t="s">
        <v>593</v>
      </c>
      <c r="P228" s="6" t="s">
        <v>44</v>
      </c>
      <c r="Q228" s="8" t="s">
        <v>45</v>
      </c>
      <c r="R228" s="10" t="s">
        <v>1663</v>
      </c>
      <c r="S228" s="11" t="s">
        <v>1664</v>
      </c>
      <c r="T228" s="6"/>
      <c r="U228" s="27" t="str">
        <f>HYPERLINK("https://media.infra-m.ru/2023/2023172/cover/2023172.jpg", "Обложка")</f>
        <v>Обложка</v>
      </c>
      <c r="V228" s="27" t="str">
        <f>HYPERLINK("https://znanium.ru/catalog/product/2023172", "Ознакомиться")</f>
        <v>Ознакомиться</v>
      </c>
      <c r="W228" s="8" t="s">
        <v>730</v>
      </c>
      <c r="X228" s="6"/>
      <c r="Y228" s="6" t="s">
        <v>30</v>
      </c>
      <c r="Z228" s="6"/>
      <c r="AA228" s="6"/>
      <c r="AB228" s="6" t="s">
        <v>1149</v>
      </c>
    </row>
    <row r="229" spans="1:28" s="4" customFormat="1" ht="51.95" customHeight="1">
      <c r="A229" s="5">
        <v>0</v>
      </c>
      <c r="B229" s="6" t="s">
        <v>1665</v>
      </c>
      <c r="C229" s="7">
        <v>2594</v>
      </c>
      <c r="D229" s="8" t="s">
        <v>1666</v>
      </c>
      <c r="E229" s="8" t="s">
        <v>1667</v>
      </c>
      <c r="F229" s="8" t="s">
        <v>1668</v>
      </c>
      <c r="G229" s="6" t="s">
        <v>173</v>
      </c>
      <c r="H229" s="6" t="s">
        <v>54</v>
      </c>
      <c r="I229" s="8" t="s">
        <v>40</v>
      </c>
      <c r="J229" s="9">
        <v>1</v>
      </c>
      <c r="K229" s="9">
        <v>552</v>
      </c>
      <c r="L229" s="9">
        <v>2024</v>
      </c>
      <c r="M229" s="8" t="s">
        <v>1669</v>
      </c>
      <c r="N229" s="8" t="s">
        <v>56</v>
      </c>
      <c r="O229" s="8" t="s">
        <v>1670</v>
      </c>
      <c r="P229" s="6" t="s">
        <v>44</v>
      </c>
      <c r="Q229" s="8" t="s">
        <v>45</v>
      </c>
      <c r="R229" s="10" t="s">
        <v>1671</v>
      </c>
      <c r="S229" s="11" t="s">
        <v>1672</v>
      </c>
      <c r="T229" s="6"/>
      <c r="U229" s="27" t="str">
        <f>HYPERLINK("https://media.infra-m.ru/2146/2146901/cover/2146901.jpg", "Обложка")</f>
        <v>Обложка</v>
      </c>
      <c r="V229" s="27" t="str">
        <f>HYPERLINK("https://znanium.ru/catalog/product/1893209", "Ознакомиться")</f>
        <v>Ознакомиться</v>
      </c>
      <c r="W229" s="8" t="s">
        <v>1673</v>
      </c>
      <c r="X229" s="6"/>
      <c r="Y229" s="6" t="s">
        <v>30</v>
      </c>
      <c r="Z229" s="6"/>
      <c r="AA229" s="6"/>
      <c r="AB229" s="6" t="s">
        <v>108</v>
      </c>
    </row>
    <row r="230" spans="1:28" s="4" customFormat="1" ht="51.95" customHeight="1">
      <c r="A230" s="5">
        <v>0</v>
      </c>
      <c r="B230" s="6" t="s">
        <v>1674</v>
      </c>
      <c r="C230" s="7">
        <v>1574</v>
      </c>
      <c r="D230" s="8" t="s">
        <v>1675</v>
      </c>
      <c r="E230" s="8" t="s">
        <v>1676</v>
      </c>
      <c r="F230" s="8" t="s">
        <v>1677</v>
      </c>
      <c r="G230" s="6" t="s">
        <v>38</v>
      </c>
      <c r="H230" s="6" t="s">
        <v>113</v>
      </c>
      <c r="I230" s="8" t="s">
        <v>40</v>
      </c>
      <c r="J230" s="9">
        <v>1</v>
      </c>
      <c r="K230" s="9">
        <v>336</v>
      </c>
      <c r="L230" s="9">
        <v>2024</v>
      </c>
      <c r="M230" s="8" t="s">
        <v>1678</v>
      </c>
      <c r="N230" s="8" t="s">
        <v>56</v>
      </c>
      <c r="O230" s="8" t="s">
        <v>231</v>
      </c>
      <c r="P230" s="6" t="s">
        <v>58</v>
      </c>
      <c r="Q230" s="8" t="s">
        <v>45</v>
      </c>
      <c r="R230" s="10" t="s">
        <v>1679</v>
      </c>
      <c r="S230" s="11" t="s">
        <v>1680</v>
      </c>
      <c r="T230" s="6"/>
      <c r="U230" s="27" t="str">
        <f>HYPERLINK("https://media.infra-m.ru/2104/2104836/cover/2104836.jpg", "Обложка")</f>
        <v>Обложка</v>
      </c>
      <c r="V230" s="27" t="str">
        <f>HYPERLINK("https://znanium.ru/catalog/product/2104836", "Ознакомиться")</f>
        <v>Ознакомиться</v>
      </c>
      <c r="W230" s="8" t="s">
        <v>241</v>
      </c>
      <c r="X230" s="6"/>
      <c r="Y230" s="6" t="s">
        <v>30</v>
      </c>
      <c r="Z230" s="6"/>
      <c r="AA230" s="6"/>
      <c r="AB230" s="6" t="s">
        <v>120</v>
      </c>
    </row>
    <row r="231" spans="1:28" s="4" customFormat="1" ht="51.95" customHeight="1">
      <c r="A231" s="5">
        <v>0</v>
      </c>
      <c r="B231" s="6" t="s">
        <v>1681</v>
      </c>
      <c r="C231" s="13">
        <v>760</v>
      </c>
      <c r="D231" s="8" t="s">
        <v>1682</v>
      </c>
      <c r="E231" s="8" t="s">
        <v>1683</v>
      </c>
      <c r="F231" s="8" t="s">
        <v>1684</v>
      </c>
      <c r="G231" s="6" t="s">
        <v>76</v>
      </c>
      <c r="H231" s="6" t="s">
        <v>39</v>
      </c>
      <c r="I231" s="8" t="s">
        <v>40</v>
      </c>
      <c r="J231" s="9">
        <v>1</v>
      </c>
      <c r="K231" s="9">
        <v>160</v>
      </c>
      <c r="L231" s="9">
        <v>2024</v>
      </c>
      <c r="M231" s="8" t="s">
        <v>1685</v>
      </c>
      <c r="N231" s="8" t="s">
        <v>264</v>
      </c>
      <c r="O231" s="8" t="s">
        <v>371</v>
      </c>
      <c r="P231" s="6" t="s">
        <v>58</v>
      </c>
      <c r="Q231" s="8" t="s">
        <v>45</v>
      </c>
      <c r="R231" s="10" t="s">
        <v>1686</v>
      </c>
      <c r="S231" s="11" t="s">
        <v>1303</v>
      </c>
      <c r="T231" s="6"/>
      <c r="U231" s="27" t="str">
        <f>HYPERLINK("https://media.infra-m.ru/2104/2104837/cover/2104837.jpg", "Обложка")</f>
        <v>Обложка</v>
      </c>
      <c r="V231" s="27" t="str">
        <f>HYPERLINK("https://znanium.ru/catalog/product/2104837", "Ознакомиться")</f>
        <v>Ознакомиться</v>
      </c>
      <c r="W231" s="8" t="s">
        <v>159</v>
      </c>
      <c r="X231" s="6"/>
      <c r="Y231" s="6" t="s">
        <v>30</v>
      </c>
      <c r="Z231" s="6"/>
      <c r="AA231" s="6"/>
      <c r="AB231" s="6" t="s">
        <v>798</v>
      </c>
    </row>
    <row r="232" spans="1:28" s="4" customFormat="1" ht="51.95" customHeight="1">
      <c r="A232" s="5">
        <v>0</v>
      </c>
      <c r="B232" s="6" t="s">
        <v>1687</v>
      </c>
      <c r="C232" s="7">
        <v>1204</v>
      </c>
      <c r="D232" s="8" t="s">
        <v>1688</v>
      </c>
      <c r="E232" s="8" t="s">
        <v>1683</v>
      </c>
      <c r="F232" s="8" t="s">
        <v>1689</v>
      </c>
      <c r="G232" s="6" t="s">
        <v>38</v>
      </c>
      <c r="H232" s="6" t="s">
        <v>54</v>
      </c>
      <c r="I232" s="8" t="s">
        <v>40</v>
      </c>
      <c r="J232" s="9">
        <v>1</v>
      </c>
      <c r="K232" s="9">
        <v>256</v>
      </c>
      <c r="L232" s="9">
        <v>2024</v>
      </c>
      <c r="M232" s="8" t="s">
        <v>1690</v>
      </c>
      <c r="N232" s="8" t="s">
        <v>264</v>
      </c>
      <c r="O232" s="8" t="s">
        <v>371</v>
      </c>
      <c r="P232" s="6" t="s">
        <v>44</v>
      </c>
      <c r="Q232" s="8" t="s">
        <v>45</v>
      </c>
      <c r="R232" s="10" t="s">
        <v>1691</v>
      </c>
      <c r="S232" s="11" t="s">
        <v>1692</v>
      </c>
      <c r="T232" s="6"/>
      <c r="U232" s="27" t="str">
        <f>HYPERLINK("https://media.infra-m.ru/2136/2136797/cover/2136797.jpg", "Обложка")</f>
        <v>Обложка</v>
      </c>
      <c r="V232" s="27" t="str">
        <f>HYPERLINK("https://znanium.ru/catalog/product/2084084", "Ознакомиться")</f>
        <v>Ознакомиться</v>
      </c>
      <c r="W232" s="8" t="s">
        <v>1693</v>
      </c>
      <c r="X232" s="6"/>
      <c r="Y232" s="6" t="s">
        <v>30</v>
      </c>
      <c r="Z232" s="6"/>
      <c r="AA232" s="6"/>
      <c r="AB232" s="6" t="s">
        <v>177</v>
      </c>
    </row>
    <row r="233" spans="1:28" s="4" customFormat="1" ht="51.95" customHeight="1">
      <c r="A233" s="5">
        <v>0</v>
      </c>
      <c r="B233" s="6" t="s">
        <v>1694</v>
      </c>
      <c r="C233" s="7">
        <v>1130</v>
      </c>
      <c r="D233" s="8" t="s">
        <v>1695</v>
      </c>
      <c r="E233" s="8" t="s">
        <v>1696</v>
      </c>
      <c r="F233" s="8" t="s">
        <v>134</v>
      </c>
      <c r="G233" s="6" t="s">
        <v>38</v>
      </c>
      <c r="H233" s="6" t="s">
        <v>135</v>
      </c>
      <c r="I233" s="8"/>
      <c r="J233" s="9">
        <v>1</v>
      </c>
      <c r="K233" s="9">
        <v>239</v>
      </c>
      <c r="L233" s="9">
        <v>2024</v>
      </c>
      <c r="M233" s="8" t="s">
        <v>1697</v>
      </c>
      <c r="N233" s="8" t="s">
        <v>137</v>
      </c>
      <c r="O233" s="8" t="s">
        <v>138</v>
      </c>
      <c r="P233" s="6" t="s">
        <v>44</v>
      </c>
      <c r="Q233" s="8" t="s">
        <v>45</v>
      </c>
      <c r="R233" s="10" t="s">
        <v>1698</v>
      </c>
      <c r="S233" s="11"/>
      <c r="T233" s="6"/>
      <c r="U233" s="27" t="str">
        <f>HYPERLINK("https://media.infra-m.ru/2125/2125912/cover/2125912.jpg", "Обложка")</f>
        <v>Обложка</v>
      </c>
      <c r="V233" s="27" t="str">
        <f>HYPERLINK("https://znanium.ru/catalog/product/1959239", "Ознакомиться")</f>
        <v>Ознакомиться</v>
      </c>
      <c r="W233" s="8" t="s">
        <v>140</v>
      </c>
      <c r="X233" s="6"/>
      <c r="Y233" s="6" t="s">
        <v>30</v>
      </c>
      <c r="Z233" s="6"/>
      <c r="AA233" s="6"/>
      <c r="AB233" s="6" t="s">
        <v>300</v>
      </c>
    </row>
    <row r="234" spans="1:28" s="4" customFormat="1" ht="51.95" customHeight="1">
      <c r="A234" s="5">
        <v>0</v>
      </c>
      <c r="B234" s="6" t="s">
        <v>1699</v>
      </c>
      <c r="C234" s="7">
        <v>1754</v>
      </c>
      <c r="D234" s="8" t="s">
        <v>1700</v>
      </c>
      <c r="E234" s="8" t="s">
        <v>1701</v>
      </c>
      <c r="F234" s="8" t="s">
        <v>1702</v>
      </c>
      <c r="G234" s="6" t="s">
        <v>38</v>
      </c>
      <c r="H234" s="6" t="s">
        <v>54</v>
      </c>
      <c r="I234" s="8" t="s">
        <v>77</v>
      </c>
      <c r="J234" s="9">
        <v>1</v>
      </c>
      <c r="K234" s="9">
        <v>381</v>
      </c>
      <c r="L234" s="9">
        <v>2023</v>
      </c>
      <c r="M234" s="8" t="s">
        <v>1703</v>
      </c>
      <c r="N234" s="8" t="s">
        <v>137</v>
      </c>
      <c r="O234" s="8" t="s">
        <v>521</v>
      </c>
      <c r="P234" s="6" t="s">
        <v>58</v>
      </c>
      <c r="Q234" s="8" t="s">
        <v>79</v>
      </c>
      <c r="R234" s="10" t="s">
        <v>1704</v>
      </c>
      <c r="S234" s="11" t="s">
        <v>1705</v>
      </c>
      <c r="T234" s="6"/>
      <c r="U234" s="27" t="str">
        <f>HYPERLINK("https://media.infra-m.ru/2066/2066330/cover/2066330.jpg", "Обложка")</f>
        <v>Обложка</v>
      </c>
      <c r="V234" s="27" t="str">
        <f>HYPERLINK("https://znanium.ru/catalog/product/1896951", "Ознакомиться")</f>
        <v>Ознакомиться</v>
      </c>
      <c r="W234" s="8" t="s">
        <v>1706</v>
      </c>
      <c r="X234" s="6"/>
      <c r="Y234" s="6" t="s">
        <v>30</v>
      </c>
      <c r="Z234" s="6"/>
      <c r="AA234" s="6"/>
      <c r="AB234" s="6" t="s">
        <v>98</v>
      </c>
    </row>
    <row r="235" spans="1:28" s="4" customFormat="1" ht="51.95" customHeight="1">
      <c r="A235" s="5">
        <v>0</v>
      </c>
      <c r="B235" s="6" t="s">
        <v>1707</v>
      </c>
      <c r="C235" s="7">
        <v>1174</v>
      </c>
      <c r="D235" s="8" t="s">
        <v>1708</v>
      </c>
      <c r="E235" s="8" t="s">
        <v>1709</v>
      </c>
      <c r="F235" s="8" t="s">
        <v>1710</v>
      </c>
      <c r="G235" s="6" t="s">
        <v>38</v>
      </c>
      <c r="H235" s="6" t="s">
        <v>719</v>
      </c>
      <c r="I235" s="8" t="s">
        <v>1711</v>
      </c>
      <c r="J235" s="9">
        <v>1</v>
      </c>
      <c r="K235" s="9">
        <v>256</v>
      </c>
      <c r="L235" s="9">
        <v>2023</v>
      </c>
      <c r="M235" s="8" t="s">
        <v>1712</v>
      </c>
      <c r="N235" s="8" t="s">
        <v>137</v>
      </c>
      <c r="O235" s="8" t="s">
        <v>138</v>
      </c>
      <c r="P235" s="6" t="s">
        <v>44</v>
      </c>
      <c r="Q235" s="8" t="s">
        <v>45</v>
      </c>
      <c r="R235" s="10" t="s">
        <v>1713</v>
      </c>
      <c r="S235" s="11" t="s">
        <v>1714</v>
      </c>
      <c r="T235" s="6"/>
      <c r="U235" s="27" t="str">
        <f>HYPERLINK("https://media.infra-m.ru/2049/2049675/cover/2049675.jpg", "Обложка")</f>
        <v>Обложка</v>
      </c>
      <c r="V235" s="27" t="str">
        <f>HYPERLINK("https://znanium.ru/catalog/product/1902024", "Ознакомиться")</f>
        <v>Ознакомиться</v>
      </c>
      <c r="W235" s="8" t="s">
        <v>159</v>
      </c>
      <c r="X235" s="6"/>
      <c r="Y235" s="6" t="s">
        <v>30</v>
      </c>
      <c r="Z235" s="6"/>
      <c r="AA235" s="6"/>
      <c r="AB235" s="6" t="s">
        <v>901</v>
      </c>
    </row>
    <row r="236" spans="1:28" s="4" customFormat="1" ht="51.95" customHeight="1">
      <c r="A236" s="5">
        <v>0</v>
      </c>
      <c r="B236" s="6" t="s">
        <v>1715</v>
      </c>
      <c r="C236" s="13">
        <v>870</v>
      </c>
      <c r="D236" s="8" t="s">
        <v>1716</v>
      </c>
      <c r="E236" s="8" t="s">
        <v>1717</v>
      </c>
      <c r="F236" s="8" t="s">
        <v>134</v>
      </c>
      <c r="G236" s="6" t="s">
        <v>38</v>
      </c>
      <c r="H236" s="6" t="s">
        <v>135</v>
      </c>
      <c r="I236" s="8" t="s">
        <v>114</v>
      </c>
      <c r="J236" s="9">
        <v>1</v>
      </c>
      <c r="K236" s="9">
        <v>180</v>
      </c>
      <c r="L236" s="9">
        <v>2024</v>
      </c>
      <c r="M236" s="8" t="s">
        <v>1718</v>
      </c>
      <c r="N236" s="8" t="s">
        <v>137</v>
      </c>
      <c r="O236" s="8" t="s">
        <v>138</v>
      </c>
      <c r="P236" s="6" t="s">
        <v>58</v>
      </c>
      <c r="Q236" s="8" t="s">
        <v>45</v>
      </c>
      <c r="R236" s="10" t="s">
        <v>1719</v>
      </c>
      <c r="S236" s="11"/>
      <c r="T236" s="6"/>
      <c r="U236" s="27" t="str">
        <f>HYPERLINK("https://media.infra-m.ru/2132/2132243/cover/2132243.jpg", "Обложка")</f>
        <v>Обложка</v>
      </c>
      <c r="V236" s="27" t="str">
        <f>HYPERLINK("https://znanium.ru/catalog/product/2132243", "Ознакомиться")</f>
        <v>Ознакомиться</v>
      </c>
      <c r="W236" s="8" t="s">
        <v>140</v>
      </c>
      <c r="X236" s="6"/>
      <c r="Y236" s="6" t="s">
        <v>30</v>
      </c>
      <c r="Z236" s="6"/>
      <c r="AA236" s="6"/>
      <c r="AB236" s="6" t="s">
        <v>208</v>
      </c>
    </row>
    <row r="237" spans="1:28" s="4" customFormat="1" ht="51.95" customHeight="1">
      <c r="A237" s="5">
        <v>0</v>
      </c>
      <c r="B237" s="6" t="s">
        <v>1720</v>
      </c>
      <c r="C237" s="7">
        <v>1580</v>
      </c>
      <c r="D237" s="8" t="s">
        <v>1721</v>
      </c>
      <c r="E237" s="8" t="s">
        <v>1722</v>
      </c>
      <c r="F237" s="8" t="s">
        <v>1723</v>
      </c>
      <c r="G237" s="6" t="s">
        <v>38</v>
      </c>
      <c r="H237" s="6" t="s">
        <v>113</v>
      </c>
      <c r="I237" s="8" t="s">
        <v>40</v>
      </c>
      <c r="J237" s="9">
        <v>1</v>
      </c>
      <c r="K237" s="9">
        <v>335</v>
      </c>
      <c r="L237" s="9">
        <v>2024</v>
      </c>
      <c r="M237" s="8" t="s">
        <v>1724</v>
      </c>
      <c r="N237" s="8" t="s">
        <v>137</v>
      </c>
      <c r="O237" s="8" t="s">
        <v>138</v>
      </c>
      <c r="P237" s="6" t="s">
        <v>44</v>
      </c>
      <c r="Q237" s="8" t="s">
        <v>45</v>
      </c>
      <c r="R237" s="10" t="s">
        <v>1725</v>
      </c>
      <c r="S237" s="11" t="s">
        <v>1726</v>
      </c>
      <c r="T237" s="6"/>
      <c r="U237" s="27" t="str">
        <f>HYPERLINK("https://media.infra-m.ru/2104/2104838/cover/2104838.jpg", "Обложка")</f>
        <v>Обложка</v>
      </c>
      <c r="V237" s="27" t="str">
        <f>HYPERLINK("https://znanium.ru/catalog/product/2104838", "Ознакомиться")</f>
        <v>Ознакомиться</v>
      </c>
      <c r="W237" s="8" t="s">
        <v>747</v>
      </c>
      <c r="X237" s="6"/>
      <c r="Y237" s="6" t="s">
        <v>30</v>
      </c>
      <c r="Z237" s="6"/>
      <c r="AA237" s="6"/>
      <c r="AB237" s="6" t="s">
        <v>1079</v>
      </c>
    </row>
    <row r="238" spans="1:28" s="4" customFormat="1" ht="51.95" customHeight="1">
      <c r="A238" s="5">
        <v>0</v>
      </c>
      <c r="B238" s="6" t="s">
        <v>1727</v>
      </c>
      <c r="C238" s="7">
        <v>2060</v>
      </c>
      <c r="D238" s="8" t="s">
        <v>1728</v>
      </c>
      <c r="E238" s="8" t="s">
        <v>1729</v>
      </c>
      <c r="F238" s="8" t="s">
        <v>1730</v>
      </c>
      <c r="G238" s="6" t="s">
        <v>173</v>
      </c>
      <c r="H238" s="6" t="s">
        <v>229</v>
      </c>
      <c r="I238" s="8" t="s">
        <v>1376</v>
      </c>
      <c r="J238" s="9">
        <v>1</v>
      </c>
      <c r="K238" s="9">
        <v>448</v>
      </c>
      <c r="L238" s="9">
        <v>2023</v>
      </c>
      <c r="M238" s="8" t="s">
        <v>1731</v>
      </c>
      <c r="N238" s="8" t="s">
        <v>137</v>
      </c>
      <c r="O238" s="8" t="s">
        <v>138</v>
      </c>
      <c r="P238" s="6" t="s">
        <v>44</v>
      </c>
      <c r="Q238" s="8" t="s">
        <v>79</v>
      </c>
      <c r="R238" s="10" t="s">
        <v>1732</v>
      </c>
      <c r="S238" s="11"/>
      <c r="T238" s="6"/>
      <c r="U238" s="27" t="str">
        <f>HYPERLINK("https://media.infra-m.ru/1904/1904580/cover/1904580.jpg", "Обложка")</f>
        <v>Обложка</v>
      </c>
      <c r="V238" s="27" t="str">
        <f>HYPERLINK("https://znanium.ru/catalog/product/1904580", "Ознакомиться")</f>
        <v>Ознакомиться</v>
      </c>
      <c r="W238" s="8" t="s">
        <v>1733</v>
      </c>
      <c r="X238" s="6"/>
      <c r="Y238" s="6" t="s">
        <v>30</v>
      </c>
      <c r="Z238" s="6"/>
      <c r="AA238" s="6"/>
      <c r="AB238" s="6" t="s">
        <v>1734</v>
      </c>
    </row>
    <row r="239" spans="1:28" s="4" customFormat="1" ht="51.95" customHeight="1">
      <c r="A239" s="5">
        <v>0</v>
      </c>
      <c r="B239" s="6" t="s">
        <v>1735</v>
      </c>
      <c r="C239" s="7">
        <v>1990</v>
      </c>
      <c r="D239" s="8" t="s">
        <v>1736</v>
      </c>
      <c r="E239" s="8" t="s">
        <v>1737</v>
      </c>
      <c r="F239" s="8" t="s">
        <v>1730</v>
      </c>
      <c r="G239" s="6" t="s">
        <v>38</v>
      </c>
      <c r="H239" s="6" t="s">
        <v>229</v>
      </c>
      <c r="I239" s="8" t="s">
        <v>1376</v>
      </c>
      <c r="J239" s="9">
        <v>1</v>
      </c>
      <c r="K239" s="9">
        <v>448</v>
      </c>
      <c r="L239" s="9">
        <v>2017</v>
      </c>
      <c r="M239" s="8" t="s">
        <v>1738</v>
      </c>
      <c r="N239" s="8" t="s">
        <v>137</v>
      </c>
      <c r="O239" s="8" t="s">
        <v>138</v>
      </c>
      <c r="P239" s="6" t="s">
        <v>44</v>
      </c>
      <c r="Q239" s="8" t="s">
        <v>79</v>
      </c>
      <c r="R239" s="10" t="s">
        <v>1732</v>
      </c>
      <c r="S239" s="11"/>
      <c r="T239" s="6"/>
      <c r="U239" s="27" t="str">
        <f>HYPERLINK("https://media.infra-m.ru/1950/1950287/cover/1950287.jpg", "Обложка")</f>
        <v>Обложка</v>
      </c>
      <c r="V239" s="27" t="str">
        <f>HYPERLINK("https://znanium.ru/catalog/product/1904580", "Ознакомиться")</f>
        <v>Ознакомиться</v>
      </c>
      <c r="W239" s="8" t="s">
        <v>1733</v>
      </c>
      <c r="X239" s="6"/>
      <c r="Y239" s="6" t="s">
        <v>30</v>
      </c>
      <c r="Z239" s="6"/>
      <c r="AA239" s="6"/>
      <c r="AB239" s="6" t="s">
        <v>1739</v>
      </c>
    </row>
    <row r="240" spans="1:28" s="4" customFormat="1" ht="42" customHeight="1">
      <c r="A240" s="5">
        <v>0</v>
      </c>
      <c r="B240" s="6" t="s">
        <v>1740</v>
      </c>
      <c r="C240" s="7">
        <v>1620</v>
      </c>
      <c r="D240" s="8" t="s">
        <v>1741</v>
      </c>
      <c r="E240" s="8" t="s">
        <v>1742</v>
      </c>
      <c r="F240" s="8" t="s">
        <v>1743</v>
      </c>
      <c r="G240" s="6" t="s">
        <v>38</v>
      </c>
      <c r="H240" s="6" t="s">
        <v>229</v>
      </c>
      <c r="I240" s="8" t="s">
        <v>40</v>
      </c>
      <c r="J240" s="9">
        <v>1</v>
      </c>
      <c r="K240" s="9">
        <v>360</v>
      </c>
      <c r="L240" s="9">
        <v>2023</v>
      </c>
      <c r="M240" s="8" t="s">
        <v>1744</v>
      </c>
      <c r="N240" s="8" t="s">
        <v>56</v>
      </c>
      <c r="O240" s="8" t="s">
        <v>231</v>
      </c>
      <c r="P240" s="6" t="s">
        <v>44</v>
      </c>
      <c r="Q240" s="8" t="s">
        <v>45</v>
      </c>
      <c r="R240" s="10" t="s">
        <v>1745</v>
      </c>
      <c r="S240" s="11"/>
      <c r="T240" s="6"/>
      <c r="U240" s="27" t="str">
        <f>HYPERLINK("https://media.infra-m.ru/1999/1999922/cover/1999922.jpg", "Обложка")</f>
        <v>Обложка</v>
      </c>
      <c r="V240" s="27" t="str">
        <f>HYPERLINK("https://znanium.ru/catalog/product/1999922", "Ознакомиться")</f>
        <v>Ознакомиться</v>
      </c>
      <c r="W240" s="8" t="s">
        <v>267</v>
      </c>
      <c r="X240" s="6"/>
      <c r="Y240" s="6" t="s">
        <v>30</v>
      </c>
      <c r="Z240" s="6"/>
      <c r="AA240" s="6"/>
      <c r="AB240" s="6" t="s">
        <v>215</v>
      </c>
    </row>
    <row r="241" spans="1:28" s="4" customFormat="1" ht="51.95" customHeight="1">
      <c r="A241" s="5">
        <v>0</v>
      </c>
      <c r="B241" s="6" t="s">
        <v>1746</v>
      </c>
      <c r="C241" s="7">
        <v>1330</v>
      </c>
      <c r="D241" s="8" t="s">
        <v>1747</v>
      </c>
      <c r="E241" s="8" t="s">
        <v>1748</v>
      </c>
      <c r="F241" s="8" t="s">
        <v>1749</v>
      </c>
      <c r="G241" s="6" t="s">
        <v>38</v>
      </c>
      <c r="H241" s="6" t="s">
        <v>54</v>
      </c>
      <c r="I241" s="8" t="s">
        <v>40</v>
      </c>
      <c r="J241" s="9">
        <v>1</v>
      </c>
      <c r="K241" s="9">
        <v>288</v>
      </c>
      <c r="L241" s="9">
        <v>2024</v>
      </c>
      <c r="M241" s="8" t="s">
        <v>1750</v>
      </c>
      <c r="N241" s="8" t="s">
        <v>56</v>
      </c>
      <c r="O241" s="8" t="s">
        <v>57</v>
      </c>
      <c r="P241" s="6" t="s">
        <v>58</v>
      </c>
      <c r="Q241" s="8" t="s">
        <v>45</v>
      </c>
      <c r="R241" s="10" t="s">
        <v>1751</v>
      </c>
      <c r="S241" s="11" t="s">
        <v>1752</v>
      </c>
      <c r="T241" s="6"/>
      <c r="U241" s="27" t="str">
        <f>HYPERLINK("https://media.infra-m.ru/2013/2013711/cover/2013711.jpg", "Обложка")</f>
        <v>Обложка</v>
      </c>
      <c r="V241" s="27" t="str">
        <f>HYPERLINK("https://znanium.ru/catalog/product/2013711", "Ознакомиться")</f>
        <v>Ознакомиться</v>
      </c>
      <c r="W241" s="8" t="s">
        <v>1753</v>
      </c>
      <c r="X241" s="6"/>
      <c r="Y241" s="6" t="s">
        <v>30</v>
      </c>
      <c r="Z241" s="6"/>
      <c r="AA241" s="6" t="s">
        <v>71</v>
      </c>
      <c r="AB241" s="6" t="s">
        <v>141</v>
      </c>
    </row>
    <row r="242" spans="1:28" s="4" customFormat="1" ht="51.95" customHeight="1">
      <c r="A242" s="5">
        <v>0</v>
      </c>
      <c r="B242" s="6" t="s">
        <v>1754</v>
      </c>
      <c r="C242" s="7">
        <v>1390</v>
      </c>
      <c r="D242" s="8" t="s">
        <v>1755</v>
      </c>
      <c r="E242" s="8" t="s">
        <v>1756</v>
      </c>
      <c r="F242" s="8" t="s">
        <v>1757</v>
      </c>
      <c r="G242" s="6" t="s">
        <v>38</v>
      </c>
      <c r="H242" s="6" t="s">
        <v>54</v>
      </c>
      <c r="I242" s="8" t="s">
        <v>40</v>
      </c>
      <c r="J242" s="9">
        <v>1</v>
      </c>
      <c r="K242" s="9">
        <v>295</v>
      </c>
      <c r="L242" s="9">
        <v>2024</v>
      </c>
      <c r="M242" s="8" t="s">
        <v>1758</v>
      </c>
      <c r="N242" s="8" t="s">
        <v>56</v>
      </c>
      <c r="O242" s="8" t="s">
        <v>593</v>
      </c>
      <c r="P242" s="6" t="s">
        <v>44</v>
      </c>
      <c r="Q242" s="8" t="s">
        <v>45</v>
      </c>
      <c r="R242" s="10" t="s">
        <v>1759</v>
      </c>
      <c r="S242" s="11" t="s">
        <v>1760</v>
      </c>
      <c r="T242" s="6"/>
      <c r="U242" s="27" t="str">
        <f>HYPERLINK("https://media.infra-m.ru/2104/2104117/cover/2104117.jpg", "Обложка")</f>
        <v>Обложка</v>
      </c>
      <c r="V242" s="27" t="str">
        <f>HYPERLINK("https://znanium.ru/catalog/product/2104117", "Ознакомиться")</f>
        <v>Ознакомиться</v>
      </c>
      <c r="W242" s="8" t="s">
        <v>1761</v>
      </c>
      <c r="X242" s="6"/>
      <c r="Y242" s="6" t="s">
        <v>30</v>
      </c>
      <c r="Z242" s="6"/>
      <c r="AA242" s="6"/>
      <c r="AB242" s="6" t="s">
        <v>108</v>
      </c>
    </row>
    <row r="243" spans="1:28" s="4" customFormat="1" ht="51.95" customHeight="1">
      <c r="A243" s="5">
        <v>0</v>
      </c>
      <c r="B243" s="6" t="s">
        <v>1762</v>
      </c>
      <c r="C243" s="7">
        <v>1660</v>
      </c>
      <c r="D243" s="8" t="s">
        <v>1763</v>
      </c>
      <c r="E243" s="8" t="s">
        <v>1764</v>
      </c>
      <c r="F243" s="8" t="s">
        <v>1765</v>
      </c>
      <c r="G243" s="6" t="s">
        <v>38</v>
      </c>
      <c r="H243" s="6" t="s">
        <v>54</v>
      </c>
      <c r="I243" s="8" t="s">
        <v>40</v>
      </c>
      <c r="J243" s="9">
        <v>1</v>
      </c>
      <c r="K243" s="9">
        <v>356</v>
      </c>
      <c r="L243" s="9">
        <v>2024</v>
      </c>
      <c r="M243" s="8" t="s">
        <v>1766</v>
      </c>
      <c r="N243" s="8" t="s">
        <v>56</v>
      </c>
      <c r="O243" s="8" t="s">
        <v>57</v>
      </c>
      <c r="P243" s="6" t="s">
        <v>58</v>
      </c>
      <c r="Q243" s="8" t="s">
        <v>45</v>
      </c>
      <c r="R243" s="10" t="s">
        <v>1767</v>
      </c>
      <c r="S243" s="11" t="s">
        <v>1768</v>
      </c>
      <c r="T243" s="6"/>
      <c r="U243" s="27" t="str">
        <f>HYPERLINK("https://media.infra-m.ru/2110/2110476/cover/2110476.jpg", "Обложка")</f>
        <v>Обложка</v>
      </c>
      <c r="V243" s="27" t="str">
        <f>HYPERLINK("https://znanium.ru/catalog/product/2110476", "Ознакомиться")</f>
        <v>Ознакомиться</v>
      </c>
      <c r="W243" s="8" t="s">
        <v>587</v>
      </c>
      <c r="X243" s="6"/>
      <c r="Y243" s="6" t="s">
        <v>30</v>
      </c>
      <c r="Z243" s="6"/>
      <c r="AA243" s="6" t="s">
        <v>71</v>
      </c>
      <c r="AB243" s="6" t="s">
        <v>208</v>
      </c>
    </row>
    <row r="244" spans="1:28" s="4" customFormat="1" ht="51.95" customHeight="1">
      <c r="A244" s="5">
        <v>0</v>
      </c>
      <c r="B244" s="6" t="s">
        <v>1769</v>
      </c>
      <c r="C244" s="7">
        <v>1660</v>
      </c>
      <c r="D244" s="8" t="s">
        <v>1770</v>
      </c>
      <c r="E244" s="8" t="s">
        <v>1771</v>
      </c>
      <c r="F244" s="8" t="s">
        <v>1689</v>
      </c>
      <c r="G244" s="6" t="s">
        <v>38</v>
      </c>
      <c r="H244" s="6" t="s">
        <v>54</v>
      </c>
      <c r="I244" s="8" t="s">
        <v>40</v>
      </c>
      <c r="J244" s="9">
        <v>1</v>
      </c>
      <c r="K244" s="9">
        <v>352</v>
      </c>
      <c r="L244" s="9">
        <v>2024</v>
      </c>
      <c r="M244" s="8" t="s">
        <v>1772</v>
      </c>
      <c r="N244" s="8" t="s">
        <v>56</v>
      </c>
      <c r="O244" s="8" t="s">
        <v>104</v>
      </c>
      <c r="P244" s="6" t="s">
        <v>44</v>
      </c>
      <c r="Q244" s="8" t="s">
        <v>45</v>
      </c>
      <c r="R244" s="10" t="s">
        <v>1773</v>
      </c>
      <c r="S244" s="11" t="s">
        <v>1774</v>
      </c>
      <c r="T244" s="6"/>
      <c r="U244" s="27" t="str">
        <f>HYPERLINK("https://media.infra-m.ru/2136/2136807/cover/2136807.jpg", "Обложка")</f>
        <v>Обложка</v>
      </c>
      <c r="V244" s="27" t="str">
        <f>HYPERLINK("https://znanium.ru/catalog/product/2136807", "Ознакомиться")</f>
        <v>Ознакомиться</v>
      </c>
      <c r="W244" s="8" t="s">
        <v>1693</v>
      </c>
      <c r="X244" s="6"/>
      <c r="Y244" s="6" t="s">
        <v>30</v>
      </c>
      <c r="Z244" s="6"/>
      <c r="AA244" s="6"/>
      <c r="AB244" s="6" t="s">
        <v>177</v>
      </c>
    </row>
    <row r="245" spans="1:28" s="4" customFormat="1" ht="51.95" customHeight="1">
      <c r="A245" s="5">
        <v>0</v>
      </c>
      <c r="B245" s="6" t="s">
        <v>1775</v>
      </c>
      <c r="C245" s="7">
        <v>1614</v>
      </c>
      <c r="D245" s="8" t="s">
        <v>1776</v>
      </c>
      <c r="E245" s="8" t="s">
        <v>1777</v>
      </c>
      <c r="F245" s="8" t="s">
        <v>1778</v>
      </c>
      <c r="G245" s="6" t="s">
        <v>38</v>
      </c>
      <c r="H245" s="6" t="s">
        <v>39</v>
      </c>
      <c r="I245" s="8" t="s">
        <v>40</v>
      </c>
      <c r="J245" s="9">
        <v>1</v>
      </c>
      <c r="K245" s="9">
        <v>357</v>
      </c>
      <c r="L245" s="9">
        <v>2023</v>
      </c>
      <c r="M245" s="8" t="s">
        <v>1779</v>
      </c>
      <c r="N245" s="8" t="s">
        <v>56</v>
      </c>
      <c r="O245" s="8" t="s">
        <v>57</v>
      </c>
      <c r="P245" s="6" t="s">
        <v>44</v>
      </c>
      <c r="Q245" s="8" t="s">
        <v>45</v>
      </c>
      <c r="R245" s="10" t="s">
        <v>1780</v>
      </c>
      <c r="S245" s="11" t="s">
        <v>625</v>
      </c>
      <c r="T245" s="6"/>
      <c r="U245" s="27" t="str">
        <f>HYPERLINK("https://media.infra-m.ru/1913/1913646/cover/1913646.jpg", "Обложка")</f>
        <v>Обложка</v>
      </c>
      <c r="V245" s="27" t="str">
        <f>HYPERLINK("https://znanium.ru/catalog/product/1657587", "Ознакомиться")</f>
        <v>Ознакомиться</v>
      </c>
      <c r="W245" s="8" t="s">
        <v>1781</v>
      </c>
      <c r="X245" s="6"/>
      <c r="Y245" s="6" t="s">
        <v>30</v>
      </c>
      <c r="Z245" s="6"/>
      <c r="AA245" s="6" t="s">
        <v>71</v>
      </c>
      <c r="AB245" s="6" t="s">
        <v>141</v>
      </c>
    </row>
    <row r="246" spans="1:28" s="4" customFormat="1" ht="51.95" customHeight="1">
      <c r="A246" s="5">
        <v>0</v>
      </c>
      <c r="B246" s="6" t="s">
        <v>1782</v>
      </c>
      <c r="C246" s="7">
        <v>2220</v>
      </c>
      <c r="D246" s="8" t="s">
        <v>1783</v>
      </c>
      <c r="E246" s="8" t="s">
        <v>1784</v>
      </c>
      <c r="F246" s="8" t="s">
        <v>1689</v>
      </c>
      <c r="G246" s="6" t="s">
        <v>173</v>
      </c>
      <c r="H246" s="6" t="s">
        <v>39</v>
      </c>
      <c r="I246" s="8" t="s">
        <v>247</v>
      </c>
      <c r="J246" s="9">
        <v>1</v>
      </c>
      <c r="K246" s="9">
        <v>480</v>
      </c>
      <c r="L246" s="9">
        <v>2023</v>
      </c>
      <c r="M246" s="8" t="s">
        <v>1785</v>
      </c>
      <c r="N246" s="8" t="s">
        <v>56</v>
      </c>
      <c r="O246" s="8" t="s">
        <v>57</v>
      </c>
      <c r="P246" s="6" t="s">
        <v>44</v>
      </c>
      <c r="Q246" s="8" t="s">
        <v>79</v>
      </c>
      <c r="R246" s="10" t="s">
        <v>1786</v>
      </c>
      <c r="S246" s="11" t="s">
        <v>1787</v>
      </c>
      <c r="T246" s="6"/>
      <c r="U246" s="27" t="str">
        <f>HYPERLINK("https://media.infra-m.ru/2030/2030904/cover/2030904.jpg", "Обложка")</f>
        <v>Обложка</v>
      </c>
      <c r="V246" s="27" t="str">
        <f>HYPERLINK("https://znanium.ru/catalog/product/2030904", "Ознакомиться")</f>
        <v>Ознакомиться</v>
      </c>
      <c r="W246" s="8" t="s">
        <v>1693</v>
      </c>
      <c r="X246" s="6"/>
      <c r="Y246" s="6" t="s">
        <v>30</v>
      </c>
      <c r="Z246" s="6"/>
      <c r="AA246" s="6" t="s">
        <v>1220</v>
      </c>
      <c r="AB246" s="6" t="s">
        <v>678</v>
      </c>
    </row>
    <row r="247" spans="1:28" s="4" customFormat="1" ht="51.95" customHeight="1">
      <c r="A247" s="5">
        <v>0</v>
      </c>
      <c r="B247" s="6" t="s">
        <v>1788</v>
      </c>
      <c r="C247" s="7">
        <v>2600</v>
      </c>
      <c r="D247" s="8" t="s">
        <v>1789</v>
      </c>
      <c r="E247" s="8" t="s">
        <v>1790</v>
      </c>
      <c r="F247" s="8" t="s">
        <v>1791</v>
      </c>
      <c r="G247" s="6" t="s">
        <v>173</v>
      </c>
      <c r="H247" s="6" t="s">
        <v>54</v>
      </c>
      <c r="I247" s="8" t="s">
        <v>247</v>
      </c>
      <c r="J247" s="9">
        <v>1</v>
      </c>
      <c r="K247" s="9">
        <v>574</v>
      </c>
      <c r="L247" s="9">
        <v>2023</v>
      </c>
      <c r="M247" s="8" t="s">
        <v>1792</v>
      </c>
      <c r="N247" s="8" t="s">
        <v>56</v>
      </c>
      <c r="O247" s="8" t="s">
        <v>57</v>
      </c>
      <c r="P247" s="6" t="s">
        <v>44</v>
      </c>
      <c r="Q247" s="8" t="s">
        <v>88</v>
      </c>
      <c r="R247" s="10" t="s">
        <v>1793</v>
      </c>
      <c r="S247" s="11" t="s">
        <v>1794</v>
      </c>
      <c r="T247" s="6" t="s">
        <v>348</v>
      </c>
      <c r="U247" s="27" t="str">
        <f>HYPERLINK("https://media.infra-m.ru/2020/2020596/cover/2020596.jpg", "Обложка")</f>
        <v>Обложка</v>
      </c>
      <c r="V247" s="27" t="str">
        <f>HYPERLINK("https://znanium.ru/catalog/product/2020596", "Ознакомиться")</f>
        <v>Ознакомиться</v>
      </c>
      <c r="W247" s="8" t="s">
        <v>267</v>
      </c>
      <c r="X247" s="6"/>
      <c r="Y247" s="6" t="s">
        <v>30</v>
      </c>
      <c r="Z247" s="6"/>
      <c r="AA247" s="6"/>
      <c r="AB247" s="6" t="s">
        <v>340</v>
      </c>
    </row>
    <row r="248" spans="1:28" s="4" customFormat="1" ht="51.95" customHeight="1">
      <c r="A248" s="5">
        <v>0</v>
      </c>
      <c r="B248" s="6" t="s">
        <v>1795</v>
      </c>
      <c r="C248" s="7">
        <v>2100</v>
      </c>
      <c r="D248" s="8" t="s">
        <v>1796</v>
      </c>
      <c r="E248" s="8" t="s">
        <v>1797</v>
      </c>
      <c r="F248" s="8" t="s">
        <v>1798</v>
      </c>
      <c r="G248" s="6" t="s">
        <v>173</v>
      </c>
      <c r="H248" s="6" t="s">
        <v>113</v>
      </c>
      <c r="I248" s="8" t="s">
        <v>40</v>
      </c>
      <c r="J248" s="9">
        <v>1</v>
      </c>
      <c r="K248" s="9">
        <v>448</v>
      </c>
      <c r="L248" s="9">
        <v>2024</v>
      </c>
      <c r="M248" s="8" t="s">
        <v>1799</v>
      </c>
      <c r="N248" s="8" t="s">
        <v>56</v>
      </c>
      <c r="O248" s="8" t="s">
        <v>57</v>
      </c>
      <c r="P248" s="6" t="s">
        <v>58</v>
      </c>
      <c r="Q248" s="8" t="s">
        <v>45</v>
      </c>
      <c r="R248" s="10" t="s">
        <v>1800</v>
      </c>
      <c r="S248" s="11" t="s">
        <v>1801</v>
      </c>
      <c r="T248" s="6"/>
      <c r="U248" s="27" t="str">
        <f>HYPERLINK("https://media.infra-m.ru/2119/2119559/cover/2119559.jpg", "Обложка")</f>
        <v>Обложка</v>
      </c>
      <c r="V248" s="27" t="str">
        <f>HYPERLINK("https://znanium.ru/catalog/product/2119559", "Ознакомиться")</f>
        <v>Ознакомиться</v>
      </c>
      <c r="W248" s="8" t="s">
        <v>119</v>
      </c>
      <c r="X248" s="6"/>
      <c r="Y248" s="6" t="s">
        <v>30</v>
      </c>
      <c r="Z248" s="6"/>
      <c r="AA248" s="6"/>
      <c r="AB248" s="6" t="s">
        <v>242</v>
      </c>
    </row>
    <row r="249" spans="1:28" s="4" customFormat="1" ht="51.95" customHeight="1">
      <c r="A249" s="5">
        <v>0</v>
      </c>
      <c r="B249" s="6" t="s">
        <v>1802</v>
      </c>
      <c r="C249" s="7">
        <v>1130</v>
      </c>
      <c r="D249" s="8" t="s">
        <v>1803</v>
      </c>
      <c r="E249" s="8" t="s">
        <v>1804</v>
      </c>
      <c r="F249" s="8" t="s">
        <v>1805</v>
      </c>
      <c r="G249" s="6" t="s">
        <v>38</v>
      </c>
      <c r="H249" s="6" t="s">
        <v>229</v>
      </c>
      <c r="I249" s="8" t="s">
        <v>40</v>
      </c>
      <c r="J249" s="9">
        <v>1</v>
      </c>
      <c r="K249" s="9">
        <v>240</v>
      </c>
      <c r="L249" s="9">
        <v>2024</v>
      </c>
      <c r="M249" s="8" t="s">
        <v>1806</v>
      </c>
      <c r="N249" s="8" t="s">
        <v>56</v>
      </c>
      <c r="O249" s="8" t="s">
        <v>57</v>
      </c>
      <c r="P249" s="6" t="s">
        <v>44</v>
      </c>
      <c r="Q249" s="8" t="s">
        <v>45</v>
      </c>
      <c r="R249" s="10" t="s">
        <v>1807</v>
      </c>
      <c r="S249" s="11" t="s">
        <v>1808</v>
      </c>
      <c r="T249" s="6"/>
      <c r="U249" s="27" t="str">
        <f>HYPERLINK("https://media.infra-m.ru/2135/2135608/cover/2135608.jpg", "Обложка")</f>
        <v>Обложка</v>
      </c>
      <c r="V249" s="27" t="str">
        <f>HYPERLINK("https://znanium.ru/catalog/product/2135608", "Ознакомиться")</f>
        <v>Ознакомиться</v>
      </c>
      <c r="W249" s="8" t="s">
        <v>258</v>
      </c>
      <c r="X249" s="6"/>
      <c r="Y249" s="6" t="s">
        <v>30</v>
      </c>
      <c r="Z249" s="6"/>
      <c r="AA249" s="6"/>
      <c r="AB249" s="6" t="s">
        <v>215</v>
      </c>
    </row>
    <row r="250" spans="1:28" s="4" customFormat="1" ht="51.95" customHeight="1">
      <c r="A250" s="5">
        <v>0</v>
      </c>
      <c r="B250" s="6" t="s">
        <v>1809</v>
      </c>
      <c r="C250" s="13">
        <v>970</v>
      </c>
      <c r="D250" s="8" t="s">
        <v>1810</v>
      </c>
      <c r="E250" s="8" t="s">
        <v>1811</v>
      </c>
      <c r="F250" s="8" t="s">
        <v>1812</v>
      </c>
      <c r="G250" s="6" t="s">
        <v>38</v>
      </c>
      <c r="H250" s="6" t="s">
        <v>54</v>
      </c>
      <c r="I250" s="8" t="s">
        <v>40</v>
      </c>
      <c r="J250" s="9">
        <v>1</v>
      </c>
      <c r="K250" s="9">
        <v>204</v>
      </c>
      <c r="L250" s="9">
        <v>2024</v>
      </c>
      <c r="M250" s="8" t="s">
        <v>1813</v>
      </c>
      <c r="N250" s="8" t="s">
        <v>56</v>
      </c>
      <c r="O250" s="8" t="s">
        <v>593</v>
      </c>
      <c r="P250" s="6" t="s">
        <v>44</v>
      </c>
      <c r="Q250" s="8" t="s">
        <v>45</v>
      </c>
      <c r="R250" s="10" t="s">
        <v>1814</v>
      </c>
      <c r="S250" s="11" t="s">
        <v>1815</v>
      </c>
      <c r="T250" s="6" t="s">
        <v>348</v>
      </c>
      <c r="U250" s="27" t="str">
        <f>HYPERLINK("https://media.infra-m.ru/2122/2122965/cover/2122965.jpg", "Обложка")</f>
        <v>Обложка</v>
      </c>
      <c r="V250" s="27" t="str">
        <f>HYPERLINK("https://znanium.ru/catalog/product/2122965", "Ознакомиться")</f>
        <v>Ознакомиться</v>
      </c>
      <c r="W250" s="8"/>
      <c r="X250" s="6"/>
      <c r="Y250" s="6" t="s">
        <v>30</v>
      </c>
      <c r="Z250" s="6"/>
      <c r="AA250" s="6"/>
      <c r="AB250" s="6" t="s">
        <v>471</v>
      </c>
    </row>
    <row r="251" spans="1:28" s="4" customFormat="1" ht="51.95" customHeight="1">
      <c r="A251" s="5">
        <v>0</v>
      </c>
      <c r="B251" s="6" t="s">
        <v>1816</v>
      </c>
      <c r="C251" s="7">
        <v>1130</v>
      </c>
      <c r="D251" s="8" t="s">
        <v>1817</v>
      </c>
      <c r="E251" s="8" t="s">
        <v>1818</v>
      </c>
      <c r="F251" s="8" t="s">
        <v>1819</v>
      </c>
      <c r="G251" s="6" t="s">
        <v>38</v>
      </c>
      <c r="H251" s="6" t="s">
        <v>54</v>
      </c>
      <c r="I251" s="8" t="s">
        <v>361</v>
      </c>
      <c r="J251" s="9">
        <v>1</v>
      </c>
      <c r="K251" s="9">
        <v>220</v>
      </c>
      <c r="L251" s="9">
        <v>2024</v>
      </c>
      <c r="M251" s="8" t="s">
        <v>1820</v>
      </c>
      <c r="N251" s="8" t="s">
        <v>56</v>
      </c>
      <c r="O251" s="8" t="s">
        <v>116</v>
      </c>
      <c r="P251" s="6" t="s">
        <v>58</v>
      </c>
      <c r="Q251" s="8" t="s">
        <v>88</v>
      </c>
      <c r="R251" s="10" t="s">
        <v>1821</v>
      </c>
      <c r="S251" s="11" t="s">
        <v>1822</v>
      </c>
      <c r="T251" s="6"/>
      <c r="U251" s="27" t="str">
        <f>HYPERLINK("https://media.infra-m.ru/2099/2099969/cover/2099969.jpg", "Обложка")</f>
        <v>Обложка</v>
      </c>
      <c r="V251" s="27" t="str">
        <f>HYPERLINK("https://znanium.ru/catalog/product/2099969", "Ознакомиться")</f>
        <v>Ознакомиться</v>
      </c>
      <c r="W251" s="8" t="s">
        <v>693</v>
      </c>
      <c r="X251" s="6"/>
      <c r="Y251" s="6" t="s">
        <v>30</v>
      </c>
      <c r="Z251" s="6"/>
      <c r="AA251" s="6"/>
      <c r="AB251" s="6" t="s">
        <v>141</v>
      </c>
    </row>
    <row r="252" spans="1:28" s="14" customFormat="1" ht="21.95" customHeight="1"/>
    <row r="253" spans="1:28" ht="15.95" customHeight="1">
      <c r="A253" s="24" t="s">
        <v>23</v>
      </c>
      <c r="B253" s="24"/>
    </row>
    <row r="254" spans="1:28" s="15" customFormat="1" ht="12.95" customHeight="1"/>
    <row r="255" spans="1:28" s="15" customFormat="1" ht="12.95" customHeight="1">
      <c r="A255" s="25" t="s">
        <v>1823</v>
      </c>
      <c r="B255" s="25"/>
      <c r="C255" s="25" t="s">
        <v>1824</v>
      </c>
      <c r="D255" s="25"/>
      <c r="E255" s="25"/>
    </row>
    <row r="256" spans="1:28" s="15" customFormat="1" ht="12.95" customHeight="1">
      <c r="A256" s="25" t="s">
        <v>1823</v>
      </c>
      <c r="B256" s="25"/>
      <c r="C256" s="25" t="s">
        <v>1824</v>
      </c>
      <c r="D256" s="25"/>
      <c r="E256" s="25"/>
    </row>
    <row r="257" spans="1:5" s="15" customFormat="1" ht="12.95" customHeight="1">
      <c r="A257" s="25" t="s">
        <v>1825</v>
      </c>
      <c r="B257" s="25"/>
      <c r="C257" s="25" t="s">
        <v>1826</v>
      </c>
      <c r="D257" s="25"/>
      <c r="E257" s="25"/>
    </row>
    <row r="258" spans="1:5" s="15" customFormat="1" ht="12.95" customHeight="1">
      <c r="A258" s="25" t="s">
        <v>1827</v>
      </c>
      <c r="B258" s="25"/>
      <c r="C258" s="25" t="s">
        <v>1828</v>
      </c>
      <c r="D258" s="25"/>
      <c r="E258" s="25"/>
    </row>
    <row r="259" spans="1:5" s="15" customFormat="1" ht="12.95" customHeight="1">
      <c r="A259" s="25" t="s">
        <v>1829</v>
      </c>
      <c r="B259" s="25"/>
      <c r="C259" s="25" t="s">
        <v>1830</v>
      </c>
      <c r="D259" s="25"/>
      <c r="E259" s="25"/>
    </row>
    <row r="260" spans="1:5" s="15" customFormat="1" ht="12.95" customHeight="1">
      <c r="A260" s="25" t="s">
        <v>1831</v>
      </c>
      <c r="B260" s="25"/>
      <c r="C260" s="25" t="s">
        <v>1832</v>
      </c>
      <c r="D260" s="25"/>
      <c r="E260" s="25"/>
    </row>
    <row r="261" spans="1:5" s="15" customFormat="1" ht="12.95" customHeight="1">
      <c r="A261" s="25" t="s">
        <v>1833</v>
      </c>
      <c r="B261" s="25"/>
      <c r="C261" s="25" t="s">
        <v>1834</v>
      </c>
      <c r="D261" s="25"/>
      <c r="E261" s="25"/>
    </row>
    <row r="262" spans="1:5" s="15" customFormat="1" ht="12.95" customHeight="1">
      <c r="A262" s="25" t="s">
        <v>1835</v>
      </c>
      <c r="B262" s="25"/>
      <c r="C262" s="25" t="s">
        <v>1826</v>
      </c>
      <c r="D262" s="25"/>
      <c r="E262" s="25"/>
    </row>
    <row r="263" spans="1:5" s="15" customFormat="1" ht="12.95" customHeight="1">
      <c r="A263" s="25" t="s">
        <v>1836</v>
      </c>
      <c r="B263" s="25"/>
      <c r="C263" s="25" t="s">
        <v>1828</v>
      </c>
      <c r="D263" s="25"/>
      <c r="E263" s="25"/>
    </row>
    <row r="264" spans="1:5" s="15" customFormat="1" ht="12.95" customHeight="1">
      <c r="A264" s="25" t="s">
        <v>1837</v>
      </c>
      <c r="B264" s="25"/>
      <c r="C264" s="25" t="s">
        <v>1838</v>
      </c>
      <c r="D264" s="25"/>
      <c r="E264" s="25"/>
    </row>
    <row r="265" spans="1:5" s="15" customFormat="1" ht="12.95" customHeight="1">
      <c r="A265" s="25" t="s">
        <v>1839</v>
      </c>
      <c r="B265" s="25"/>
      <c r="C265" s="25" t="s">
        <v>1830</v>
      </c>
      <c r="D265" s="25"/>
      <c r="E265" s="25"/>
    </row>
    <row r="266" spans="1:5" s="15" customFormat="1" ht="12.95" customHeight="1">
      <c r="A266" s="25" t="s">
        <v>1840</v>
      </c>
      <c r="B266" s="25"/>
      <c r="C266" s="25" t="s">
        <v>1841</v>
      </c>
      <c r="D266" s="25"/>
      <c r="E266" s="25"/>
    </row>
    <row r="267" spans="1:5" s="15" customFormat="1" ht="12.95" customHeight="1">
      <c r="A267" s="25" t="s">
        <v>1842</v>
      </c>
      <c r="B267" s="25"/>
      <c r="C267" s="25" t="s">
        <v>1843</v>
      </c>
      <c r="D267" s="25"/>
      <c r="E267" s="25"/>
    </row>
    <row r="268" spans="1:5" s="15" customFormat="1" ht="12.95" customHeight="1">
      <c r="A268" s="25" t="s">
        <v>1844</v>
      </c>
      <c r="B268" s="25"/>
      <c r="C268" s="25" t="s">
        <v>1845</v>
      </c>
      <c r="D268" s="25"/>
      <c r="E268" s="25"/>
    </row>
    <row r="269" spans="1:5" s="15" customFormat="1" ht="12.95" customHeight="1">
      <c r="A269" s="25" t="s">
        <v>1846</v>
      </c>
      <c r="B269" s="25"/>
      <c r="C269" s="25" t="s">
        <v>1834</v>
      </c>
      <c r="D269" s="25"/>
      <c r="E269" s="25"/>
    </row>
    <row r="270" spans="1:5" s="15" customFormat="1" ht="12.95" customHeight="1">
      <c r="A270" s="25" t="s">
        <v>1847</v>
      </c>
      <c r="B270" s="25"/>
      <c r="C270" s="25" t="s">
        <v>1832</v>
      </c>
      <c r="D270" s="25"/>
      <c r="E270" s="25"/>
    </row>
    <row r="271" spans="1:5" s="15" customFormat="1" ht="12.95" customHeight="1">
      <c r="A271" s="25" t="s">
        <v>1848</v>
      </c>
      <c r="B271" s="25"/>
      <c r="C271" s="25" t="s">
        <v>1849</v>
      </c>
      <c r="D271" s="25"/>
      <c r="E271" s="25"/>
    </row>
    <row r="272" spans="1:5" s="15" customFormat="1" ht="12.95" customHeight="1">
      <c r="A272" s="25" t="s">
        <v>1850</v>
      </c>
      <c r="B272" s="25"/>
      <c r="C272" s="25" t="s">
        <v>1851</v>
      </c>
      <c r="D272" s="25"/>
      <c r="E272" s="25"/>
    </row>
    <row r="273" spans="1:5" s="15" customFormat="1" ht="12.95" customHeight="1">
      <c r="A273" s="25" t="s">
        <v>1852</v>
      </c>
      <c r="B273" s="25"/>
      <c r="C273" s="25" t="s">
        <v>1853</v>
      </c>
      <c r="D273" s="25"/>
      <c r="E273" s="25"/>
    </row>
    <row r="274" spans="1:5" s="15" customFormat="1" ht="12.95" customHeight="1">
      <c r="A274" s="25" t="s">
        <v>1854</v>
      </c>
      <c r="B274" s="25"/>
      <c r="C274" s="25" t="s">
        <v>1855</v>
      </c>
      <c r="D274" s="25"/>
      <c r="E274" s="25"/>
    </row>
    <row r="275" spans="1:5" s="15" customFormat="1" ht="12.95" customHeight="1">
      <c r="A275" s="25" t="s">
        <v>1856</v>
      </c>
      <c r="B275" s="25"/>
      <c r="C275" s="25" t="s">
        <v>1857</v>
      </c>
      <c r="D275" s="25"/>
      <c r="E275" s="25"/>
    </row>
    <row r="276" spans="1:5" s="15" customFormat="1" ht="12.95" customHeight="1">
      <c r="A276" s="25" t="s">
        <v>1858</v>
      </c>
      <c r="B276" s="25"/>
      <c r="C276" s="25" t="s">
        <v>1859</v>
      </c>
      <c r="D276" s="25"/>
      <c r="E276" s="25"/>
    </row>
    <row r="277" spans="1:5" s="15" customFormat="1" ht="12.95" customHeight="1">
      <c r="A277" s="25" t="s">
        <v>1860</v>
      </c>
      <c r="B277" s="25"/>
      <c r="C277" s="25" t="s">
        <v>1861</v>
      </c>
      <c r="D277" s="25"/>
      <c r="E277" s="25"/>
    </row>
    <row r="278" spans="1:5" s="15" customFormat="1" ht="12.95" customHeight="1">
      <c r="A278" s="25" t="s">
        <v>1862</v>
      </c>
      <c r="B278" s="25"/>
      <c r="C278" s="25" t="s">
        <v>1863</v>
      </c>
      <c r="D278" s="25"/>
      <c r="E278" s="25"/>
    </row>
    <row r="279" spans="1:5" s="15" customFormat="1" ht="12.95" customHeight="1">
      <c r="A279" s="25" t="s">
        <v>1864</v>
      </c>
      <c r="B279" s="25"/>
      <c r="C279" s="25" t="s">
        <v>1865</v>
      </c>
      <c r="D279" s="25"/>
      <c r="E279" s="25"/>
    </row>
    <row r="280" spans="1:5" s="15" customFormat="1" ht="12.95" customHeight="1">
      <c r="A280" s="25" t="s">
        <v>1866</v>
      </c>
      <c r="B280" s="25"/>
      <c r="C280" s="25" t="s">
        <v>1867</v>
      </c>
      <c r="D280" s="25"/>
      <c r="E280" s="25"/>
    </row>
    <row r="281" spans="1:5" s="15" customFormat="1" ht="12.95" customHeight="1">
      <c r="A281" s="25" t="s">
        <v>1868</v>
      </c>
      <c r="B281" s="25"/>
      <c r="C281" s="25" t="s">
        <v>1826</v>
      </c>
      <c r="D281" s="25"/>
      <c r="E281" s="25"/>
    </row>
    <row r="282" spans="1:5" s="15" customFormat="1" ht="12.95" customHeight="1">
      <c r="A282" s="25" t="s">
        <v>1869</v>
      </c>
      <c r="B282" s="25"/>
      <c r="C282" s="25" t="s">
        <v>1828</v>
      </c>
      <c r="D282" s="25"/>
      <c r="E282" s="25"/>
    </row>
    <row r="283" spans="1:5" s="15" customFormat="1" ht="12.95" customHeight="1">
      <c r="A283" s="25" t="s">
        <v>1870</v>
      </c>
      <c r="B283" s="25"/>
      <c r="C283" s="25" t="s">
        <v>1830</v>
      </c>
      <c r="D283" s="25"/>
      <c r="E283" s="25"/>
    </row>
    <row r="284" spans="1:5" s="15" customFormat="1" ht="12.95" customHeight="1">
      <c r="A284" s="25" t="s">
        <v>1871</v>
      </c>
      <c r="B284" s="25"/>
      <c r="C284" s="25" t="s">
        <v>1872</v>
      </c>
      <c r="D284" s="25"/>
      <c r="E284" s="25"/>
    </row>
    <row r="285" spans="1:5" s="15" customFormat="1" ht="12.95" customHeight="1">
      <c r="A285" s="25" t="s">
        <v>1873</v>
      </c>
      <c r="B285" s="25"/>
      <c r="C285" s="25" t="s">
        <v>1145</v>
      </c>
      <c r="D285" s="25"/>
      <c r="E285" s="25"/>
    </row>
    <row r="286" spans="1:5" s="15" customFormat="1" ht="12.95" customHeight="1">
      <c r="A286" s="25" t="s">
        <v>1874</v>
      </c>
      <c r="B286" s="25"/>
      <c r="C286" s="25" t="s">
        <v>1865</v>
      </c>
      <c r="D286" s="25"/>
      <c r="E286" s="25"/>
    </row>
    <row r="287" spans="1:5" s="15" customFormat="1" ht="12.95" customHeight="1">
      <c r="A287" s="25" t="s">
        <v>1875</v>
      </c>
      <c r="B287" s="25"/>
      <c r="C287" s="25" t="s">
        <v>1826</v>
      </c>
      <c r="D287" s="25"/>
      <c r="E287" s="25"/>
    </row>
    <row r="288" spans="1:5" s="15" customFormat="1" ht="12.95" customHeight="1">
      <c r="A288" s="25" t="s">
        <v>1876</v>
      </c>
      <c r="B288" s="25"/>
      <c r="C288" s="25" t="s">
        <v>1828</v>
      </c>
      <c r="D288" s="25"/>
      <c r="E288" s="25"/>
    </row>
    <row r="289" spans="1:5" s="15" customFormat="1" ht="12.95" customHeight="1">
      <c r="A289" s="25" t="s">
        <v>1877</v>
      </c>
      <c r="B289" s="25"/>
      <c r="C289" s="25" t="s">
        <v>1830</v>
      </c>
      <c r="D289" s="25"/>
      <c r="E289" s="25"/>
    </row>
    <row r="290" spans="1:5" s="15" customFormat="1" ht="12.95" customHeight="1">
      <c r="A290" s="25" t="s">
        <v>1878</v>
      </c>
      <c r="B290" s="25"/>
      <c r="C290" s="25" t="s">
        <v>1145</v>
      </c>
      <c r="D290" s="25"/>
      <c r="E290" s="25"/>
    </row>
    <row r="291" spans="1:5" s="15" customFormat="1" ht="12.95" customHeight="1">
      <c r="A291" s="25" t="s">
        <v>1879</v>
      </c>
      <c r="B291" s="25"/>
      <c r="C291" s="25" t="s">
        <v>1880</v>
      </c>
      <c r="D291" s="25"/>
      <c r="E291" s="25"/>
    </row>
    <row r="292" spans="1:5" s="15" customFormat="1" ht="12.95" customHeight="1">
      <c r="A292" s="25" t="s">
        <v>1881</v>
      </c>
      <c r="B292" s="25"/>
      <c r="C292" s="25" t="s">
        <v>1882</v>
      </c>
      <c r="D292" s="25"/>
      <c r="E292" s="25"/>
    </row>
    <row r="293" spans="1:5" s="15" customFormat="1" ht="12.95" customHeight="1">
      <c r="A293" s="25" t="s">
        <v>1883</v>
      </c>
      <c r="B293" s="25"/>
      <c r="C293" s="25" t="s">
        <v>1884</v>
      </c>
      <c r="D293" s="25"/>
      <c r="E293" s="25"/>
    </row>
    <row r="294" spans="1:5" s="15" customFormat="1" ht="12.95" customHeight="1">
      <c r="A294" s="25" t="s">
        <v>1885</v>
      </c>
      <c r="B294" s="25"/>
      <c r="C294" s="25" t="s">
        <v>1886</v>
      </c>
      <c r="D294" s="25"/>
      <c r="E294" s="25"/>
    </row>
    <row r="295" spans="1:5" s="15" customFormat="1" ht="12.95" customHeight="1">
      <c r="A295" s="25" t="s">
        <v>1887</v>
      </c>
      <c r="B295" s="25"/>
      <c r="C295" s="25" t="s">
        <v>1888</v>
      </c>
      <c r="D295" s="25"/>
      <c r="E295" s="25"/>
    </row>
    <row r="296" spans="1:5" s="15" customFormat="1" ht="12.95" customHeight="1">
      <c r="A296" s="25" t="s">
        <v>1889</v>
      </c>
      <c r="B296" s="25"/>
      <c r="C296" s="25" t="s">
        <v>1890</v>
      </c>
      <c r="D296" s="25"/>
      <c r="E296" s="25"/>
    </row>
    <row r="297" spans="1:5" s="15" customFormat="1" ht="12.95" customHeight="1">
      <c r="A297" s="25" t="s">
        <v>1891</v>
      </c>
      <c r="B297" s="25"/>
      <c r="C297" s="25" t="s">
        <v>1888</v>
      </c>
      <c r="D297" s="25"/>
      <c r="E297" s="25"/>
    </row>
    <row r="298" spans="1:5" s="15" customFormat="1" ht="12.95" customHeight="1">
      <c r="A298" s="25" t="s">
        <v>1892</v>
      </c>
      <c r="B298" s="25"/>
      <c r="C298" s="25" t="s">
        <v>1893</v>
      </c>
      <c r="D298" s="25"/>
      <c r="E298" s="25"/>
    </row>
    <row r="299" spans="1:5" s="15" customFormat="1" ht="12.95" customHeight="1">
      <c r="A299" s="25" t="s">
        <v>1894</v>
      </c>
      <c r="B299" s="25"/>
      <c r="C299" s="25" t="s">
        <v>1882</v>
      </c>
      <c r="D299" s="25"/>
      <c r="E299" s="25"/>
    </row>
    <row r="300" spans="1:5" s="15" customFormat="1" ht="12.95" customHeight="1">
      <c r="A300" s="25" t="s">
        <v>1895</v>
      </c>
      <c r="B300" s="25"/>
      <c r="C300" s="25" t="s">
        <v>1896</v>
      </c>
      <c r="D300" s="25"/>
      <c r="E300" s="25"/>
    </row>
    <row r="301" spans="1:5" s="15" customFormat="1" ht="12.95" customHeight="1">
      <c r="A301" s="25" t="s">
        <v>1897</v>
      </c>
      <c r="B301" s="25"/>
      <c r="C301" s="25" t="s">
        <v>1898</v>
      </c>
      <c r="D301" s="25"/>
      <c r="E301" s="25"/>
    </row>
    <row r="302" spans="1:5" s="15" customFormat="1" ht="12.95" customHeight="1">
      <c r="A302" s="25" t="s">
        <v>1899</v>
      </c>
      <c r="B302" s="25"/>
      <c r="C302" s="25" t="s">
        <v>1900</v>
      </c>
      <c r="D302" s="25"/>
      <c r="E302" s="25"/>
    </row>
    <row r="303" spans="1:5" s="15" customFormat="1" ht="12.95" customHeight="1">
      <c r="A303" s="25" t="s">
        <v>1899</v>
      </c>
      <c r="B303" s="25"/>
      <c r="C303" s="25" t="s">
        <v>1900</v>
      </c>
      <c r="D303" s="25"/>
      <c r="E303" s="25"/>
    </row>
    <row r="304" spans="1:5" s="15" customFormat="1" ht="12.95" customHeight="1">
      <c r="A304" s="25" t="s">
        <v>1901</v>
      </c>
      <c r="B304" s="25"/>
      <c r="C304" s="25" t="s">
        <v>1902</v>
      </c>
      <c r="D304" s="25"/>
      <c r="E304" s="25"/>
    </row>
    <row r="305" spans="1:5" s="15" customFormat="1" ht="12.95" customHeight="1">
      <c r="A305" s="25" t="s">
        <v>1903</v>
      </c>
      <c r="B305" s="25"/>
      <c r="C305" s="25" t="s">
        <v>1904</v>
      </c>
      <c r="D305" s="25"/>
      <c r="E305" s="25"/>
    </row>
    <row r="306" spans="1:5" s="15" customFormat="1" ht="12.95" customHeight="1">
      <c r="A306" s="25" t="s">
        <v>1905</v>
      </c>
      <c r="B306" s="25"/>
      <c r="C306" s="25" t="s">
        <v>1906</v>
      </c>
      <c r="D306" s="25"/>
      <c r="E306" s="25"/>
    </row>
    <row r="307" spans="1:5" s="15" customFormat="1" ht="12.95" customHeight="1">
      <c r="A307" s="25" t="s">
        <v>1907</v>
      </c>
      <c r="B307" s="25"/>
      <c r="C307" s="25" t="s">
        <v>1908</v>
      </c>
      <c r="D307" s="25"/>
      <c r="E307" s="25"/>
    </row>
    <row r="308" spans="1:5" s="15" customFormat="1" ht="12.95" customHeight="1">
      <c r="A308" s="25" t="s">
        <v>1909</v>
      </c>
      <c r="B308" s="25"/>
      <c r="C308" s="25" t="s">
        <v>1910</v>
      </c>
      <c r="D308" s="25"/>
      <c r="E308" s="25"/>
    </row>
    <row r="309" spans="1:5" s="15" customFormat="1" ht="12.95" customHeight="1">
      <c r="A309" s="25" t="s">
        <v>1911</v>
      </c>
      <c r="B309" s="25"/>
      <c r="C309" s="25" t="s">
        <v>1912</v>
      </c>
      <c r="D309" s="25"/>
      <c r="E309" s="25"/>
    </row>
    <row r="310" spans="1:5" s="15" customFormat="1" ht="12.95" customHeight="1">
      <c r="A310" s="25" t="s">
        <v>1913</v>
      </c>
      <c r="B310" s="25"/>
      <c r="C310" s="25" t="s">
        <v>1914</v>
      </c>
      <c r="D310" s="25"/>
      <c r="E310" s="25"/>
    </row>
    <row r="311" spans="1:5" s="15" customFormat="1" ht="12.95" customHeight="1">
      <c r="A311" s="25" t="s">
        <v>1915</v>
      </c>
      <c r="B311" s="25"/>
      <c r="C311" s="25" t="s">
        <v>1916</v>
      </c>
      <c r="D311" s="25"/>
      <c r="E311" s="25"/>
    </row>
    <row r="312" spans="1:5" s="15" customFormat="1" ht="12.95" customHeight="1">
      <c r="A312" s="25" t="s">
        <v>1917</v>
      </c>
      <c r="B312" s="25"/>
      <c r="C312" s="25" t="s">
        <v>1918</v>
      </c>
      <c r="D312" s="25"/>
      <c r="E312" s="25"/>
    </row>
    <row r="313" spans="1:5" s="15" customFormat="1" ht="12.95" customHeight="1">
      <c r="A313" s="25" t="s">
        <v>1919</v>
      </c>
      <c r="B313" s="25"/>
      <c r="C313" s="25" t="s">
        <v>1910</v>
      </c>
      <c r="D313" s="25"/>
      <c r="E313" s="25"/>
    </row>
    <row r="314" spans="1:5" s="15" customFormat="1" ht="12.95" customHeight="1">
      <c r="A314" s="25" t="s">
        <v>1920</v>
      </c>
      <c r="B314" s="25"/>
      <c r="C314" s="25" t="s">
        <v>1912</v>
      </c>
      <c r="D314" s="25"/>
      <c r="E314" s="25"/>
    </row>
    <row r="315" spans="1:5" s="15" customFormat="1" ht="12.95" customHeight="1">
      <c r="A315" s="25" t="s">
        <v>1921</v>
      </c>
      <c r="B315" s="25"/>
      <c r="C315" s="25" t="s">
        <v>1916</v>
      </c>
      <c r="D315" s="25"/>
      <c r="E315" s="25"/>
    </row>
    <row r="316" spans="1:5" s="15" customFormat="1" ht="12.95" customHeight="1">
      <c r="A316" s="25" t="s">
        <v>1922</v>
      </c>
      <c r="B316" s="25"/>
      <c r="C316" s="25" t="s">
        <v>1918</v>
      </c>
      <c r="D316" s="25"/>
      <c r="E316" s="25"/>
    </row>
    <row r="317" spans="1:5" s="15" customFormat="1" ht="12.95" customHeight="1">
      <c r="A317" s="25" t="s">
        <v>1923</v>
      </c>
      <c r="B317" s="25"/>
      <c r="C317" s="25" t="s">
        <v>1924</v>
      </c>
      <c r="D317" s="25"/>
      <c r="E317" s="25"/>
    </row>
    <row r="318" spans="1:5" s="15" customFormat="1" ht="12.95" customHeight="1">
      <c r="A318" s="25" t="s">
        <v>1925</v>
      </c>
      <c r="B318" s="25"/>
      <c r="C318" s="25" t="s">
        <v>1926</v>
      </c>
      <c r="D318" s="25"/>
      <c r="E318" s="25"/>
    </row>
    <row r="319" spans="1:5" s="15" customFormat="1" ht="12.95" customHeight="1">
      <c r="A319" s="25" t="s">
        <v>1927</v>
      </c>
      <c r="B319" s="25"/>
      <c r="C319" s="25" t="s">
        <v>1928</v>
      </c>
      <c r="D319" s="25"/>
      <c r="E319" s="25"/>
    </row>
    <row r="320" spans="1:5" s="15" customFormat="1" ht="12.95" customHeight="1">
      <c r="A320" s="25" t="s">
        <v>1929</v>
      </c>
      <c r="B320" s="25"/>
      <c r="C320" s="25" t="s">
        <v>1930</v>
      </c>
      <c r="D320" s="25"/>
      <c r="E320" s="25"/>
    </row>
    <row r="321" spans="1:5" s="15" customFormat="1" ht="12.95" customHeight="1">
      <c r="A321" s="25" t="s">
        <v>1931</v>
      </c>
      <c r="B321" s="25"/>
      <c r="C321" s="25" t="s">
        <v>1932</v>
      </c>
      <c r="D321" s="25"/>
      <c r="E321" s="25"/>
    </row>
    <row r="322" spans="1:5" s="15" customFormat="1" ht="12.95" customHeight="1">
      <c r="A322" s="25" t="s">
        <v>1933</v>
      </c>
      <c r="B322" s="25"/>
      <c r="C322" s="25" t="s">
        <v>1934</v>
      </c>
      <c r="D322" s="25"/>
      <c r="E322" s="25"/>
    </row>
    <row r="323" spans="1:5" s="15" customFormat="1" ht="12.95" customHeight="1">
      <c r="A323" s="25" t="s">
        <v>1935</v>
      </c>
      <c r="B323" s="25"/>
      <c r="C323" s="25" t="s">
        <v>1932</v>
      </c>
      <c r="D323" s="25"/>
      <c r="E323" s="25"/>
    </row>
    <row r="324" spans="1:5" s="15" customFormat="1" ht="12.95" customHeight="1">
      <c r="A324" s="25" t="s">
        <v>1936</v>
      </c>
      <c r="B324" s="25"/>
      <c r="C324" s="25" t="s">
        <v>1937</v>
      </c>
      <c r="D324" s="25"/>
      <c r="E324" s="25"/>
    </row>
    <row r="325" spans="1:5" s="15" customFormat="1" ht="12.95" customHeight="1">
      <c r="A325" s="25" t="s">
        <v>1938</v>
      </c>
      <c r="B325" s="25"/>
      <c r="C325" s="25" t="s">
        <v>1939</v>
      </c>
      <c r="D325" s="25"/>
      <c r="E325" s="25"/>
    </row>
    <row r="326" spans="1:5" s="15" customFormat="1" ht="12.95" customHeight="1">
      <c r="A326" s="25" t="s">
        <v>1940</v>
      </c>
      <c r="B326" s="25"/>
      <c r="C326" s="25" t="s">
        <v>1941</v>
      </c>
      <c r="D326" s="25"/>
      <c r="E326" s="25"/>
    </row>
    <row r="327" spans="1:5" s="15" customFormat="1" ht="12.95" customHeight="1">
      <c r="A327" s="25" t="s">
        <v>1942</v>
      </c>
      <c r="B327" s="25"/>
      <c r="C327" s="25" t="s">
        <v>1943</v>
      </c>
      <c r="D327" s="25"/>
      <c r="E327" s="25"/>
    </row>
    <row r="328" spans="1:5" s="15" customFormat="1" ht="12.95" customHeight="1">
      <c r="A328" s="25" t="s">
        <v>1944</v>
      </c>
      <c r="B328" s="25"/>
      <c r="C328" s="25" t="s">
        <v>1945</v>
      </c>
      <c r="D328" s="25"/>
      <c r="E328" s="25"/>
    </row>
    <row r="329" spans="1:5" s="15" customFormat="1" ht="12.95" customHeight="1">
      <c r="A329" s="25" t="s">
        <v>1946</v>
      </c>
      <c r="B329" s="25"/>
      <c r="C329" s="25" t="s">
        <v>1947</v>
      </c>
      <c r="D329" s="25"/>
      <c r="E329" s="25"/>
    </row>
    <row r="330" spans="1:5" s="15" customFormat="1" ht="12.95" customHeight="1">
      <c r="A330" s="25" t="s">
        <v>1948</v>
      </c>
      <c r="B330" s="25"/>
      <c r="C330" s="25" t="s">
        <v>1949</v>
      </c>
      <c r="D330" s="25"/>
      <c r="E330" s="25"/>
    </row>
    <row r="331" spans="1:5" s="15" customFormat="1" ht="12.95" customHeight="1">
      <c r="A331" s="25" t="s">
        <v>1950</v>
      </c>
      <c r="B331" s="25"/>
      <c r="C331" s="25" t="s">
        <v>1951</v>
      </c>
      <c r="D331" s="25"/>
      <c r="E331" s="25"/>
    </row>
    <row r="332" spans="1:5" s="15" customFormat="1" ht="12.95" customHeight="1">
      <c r="A332" s="25" t="s">
        <v>1952</v>
      </c>
      <c r="B332" s="25"/>
      <c r="C332" s="25" t="s">
        <v>1953</v>
      </c>
      <c r="D332" s="25"/>
      <c r="E332" s="25"/>
    </row>
    <row r="333" spans="1:5" s="15" customFormat="1" ht="12.95" customHeight="1">
      <c r="A333" s="25" t="s">
        <v>1954</v>
      </c>
      <c r="B333" s="25"/>
      <c r="C333" s="25" t="s">
        <v>1955</v>
      </c>
      <c r="D333" s="25"/>
      <c r="E333" s="25"/>
    </row>
    <row r="334" spans="1:5" s="15" customFormat="1" ht="12.95" customHeight="1">
      <c r="A334" s="25" t="s">
        <v>1956</v>
      </c>
      <c r="B334" s="25"/>
      <c r="C334" s="25" t="s">
        <v>1957</v>
      </c>
      <c r="D334" s="25"/>
      <c r="E334" s="25"/>
    </row>
    <row r="335" spans="1:5" s="15" customFormat="1" ht="12.95" customHeight="1">
      <c r="A335" s="25" t="s">
        <v>1958</v>
      </c>
      <c r="B335" s="25"/>
      <c r="C335" s="25" t="s">
        <v>1959</v>
      </c>
      <c r="D335" s="25"/>
      <c r="E335" s="25"/>
    </row>
    <row r="336" spans="1:5" s="15" customFormat="1" ht="12.95" customHeight="1">
      <c r="A336" s="25" t="s">
        <v>1960</v>
      </c>
      <c r="B336" s="25"/>
      <c r="C336" s="25" t="s">
        <v>1961</v>
      </c>
      <c r="D336" s="25"/>
      <c r="E336" s="25"/>
    </row>
    <row r="337" spans="1:5" s="15" customFormat="1" ht="12.95" customHeight="1">
      <c r="A337" s="25" t="s">
        <v>1962</v>
      </c>
      <c r="B337" s="25"/>
      <c r="C337" s="25" t="s">
        <v>1963</v>
      </c>
      <c r="D337" s="25"/>
      <c r="E337" s="25"/>
    </row>
    <row r="338" spans="1:5" s="15" customFormat="1" ht="12.95" customHeight="1">
      <c r="A338" s="25" t="s">
        <v>1964</v>
      </c>
      <c r="B338" s="25"/>
      <c r="C338" s="25" t="s">
        <v>1965</v>
      </c>
      <c r="D338" s="25"/>
      <c r="E338" s="25"/>
    </row>
    <row r="339" spans="1:5" s="15" customFormat="1" ht="12.95" customHeight="1">
      <c r="A339" s="25" t="s">
        <v>1966</v>
      </c>
      <c r="B339" s="25"/>
      <c r="C339" s="25" t="s">
        <v>1967</v>
      </c>
      <c r="D339" s="25"/>
      <c r="E339" s="25"/>
    </row>
    <row r="340" spans="1:5" s="15" customFormat="1" ht="12.95" customHeight="1">
      <c r="A340" s="25" t="s">
        <v>831</v>
      </c>
      <c r="B340" s="25"/>
      <c r="C340" s="25" t="s">
        <v>1968</v>
      </c>
      <c r="D340" s="25"/>
      <c r="E340" s="25"/>
    </row>
    <row r="341" spans="1:5" s="15" customFormat="1" ht="12.95" customHeight="1">
      <c r="A341" s="25" t="s">
        <v>1969</v>
      </c>
      <c r="B341" s="25"/>
      <c r="C341" s="25" t="s">
        <v>1970</v>
      </c>
      <c r="D341" s="25"/>
      <c r="E341" s="25"/>
    </row>
    <row r="342" spans="1:5" s="15" customFormat="1" ht="12.95" customHeight="1">
      <c r="A342" s="25" t="s">
        <v>1971</v>
      </c>
      <c r="B342" s="25"/>
      <c r="C342" s="25" t="s">
        <v>593</v>
      </c>
      <c r="D342" s="25"/>
      <c r="E342" s="25"/>
    </row>
    <row r="343" spans="1:5" s="15" customFormat="1" ht="12.95" customHeight="1">
      <c r="A343" s="25" t="s">
        <v>1972</v>
      </c>
      <c r="B343" s="25"/>
      <c r="C343" s="25" t="s">
        <v>593</v>
      </c>
      <c r="D343" s="25"/>
      <c r="E343" s="25"/>
    </row>
    <row r="344" spans="1:5" s="15" customFormat="1" ht="12.95" customHeight="1">
      <c r="A344" s="25" t="s">
        <v>1973</v>
      </c>
      <c r="B344" s="25"/>
      <c r="C344" s="25" t="s">
        <v>1974</v>
      </c>
      <c r="D344" s="25"/>
      <c r="E344" s="25"/>
    </row>
    <row r="345" spans="1:5" s="15" customFormat="1" ht="12.95" customHeight="1">
      <c r="A345" s="25" t="s">
        <v>1975</v>
      </c>
      <c r="B345" s="25"/>
      <c r="C345" s="25" t="s">
        <v>1976</v>
      </c>
      <c r="D345" s="25"/>
      <c r="E345" s="25"/>
    </row>
    <row r="346" spans="1:5" s="15" customFormat="1" ht="12.95" customHeight="1">
      <c r="A346" s="25" t="s">
        <v>1977</v>
      </c>
      <c r="B346" s="25"/>
      <c r="C346" s="25" t="s">
        <v>1978</v>
      </c>
      <c r="D346" s="25"/>
      <c r="E346" s="25"/>
    </row>
    <row r="347" spans="1:5" s="15" customFormat="1" ht="12.95" customHeight="1">
      <c r="A347" s="25" t="s">
        <v>1979</v>
      </c>
      <c r="B347" s="25"/>
      <c r="C347" s="25" t="s">
        <v>1980</v>
      </c>
      <c r="D347" s="25"/>
      <c r="E347" s="25"/>
    </row>
    <row r="348" spans="1:5" s="15" customFormat="1" ht="12.95" customHeight="1">
      <c r="A348" s="25" t="s">
        <v>1981</v>
      </c>
      <c r="B348" s="25"/>
      <c r="C348" s="25" t="s">
        <v>1982</v>
      </c>
      <c r="D348" s="25"/>
      <c r="E348" s="25"/>
    </row>
    <row r="349" spans="1:5" s="15" customFormat="1" ht="12.95" customHeight="1">
      <c r="A349" s="25" t="s">
        <v>1338</v>
      </c>
      <c r="B349" s="25"/>
      <c r="C349" s="25" t="s">
        <v>1983</v>
      </c>
      <c r="D349" s="25"/>
      <c r="E349" s="25"/>
    </row>
    <row r="350" spans="1:5" s="15" customFormat="1" ht="12.95" customHeight="1">
      <c r="A350" s="25" t="s">
        <v>1984</v>
      </c>
      <c r="B350" s="25"/>
      <c r="C350" s="25" t="s">
        <v>1985</v>
      </c>
      <c r="D350" s="25"/>
      <c r="E350" s="25"/>
    </row>
    <row r="351" spans="1:5" s="15" customFormat="1" ht="12.95" customHeight="1">
      <c r="A351" s="25" t="s">
        <v>1986</v>
      </c>
      <c r="B351" s="25"/>
      <c r="C351" s="25" t="s">
        <v>1987</v>
      </c>
      <c r="D351" s="25"/>
      <c r="E351" s="25"/>
    </row>
    <row r="352" spans="1:5" s="15" customFormat="1" ht="12.95" customHeight="1">
      <c r="A352" s="25" t="s">
        <v>1988</v>
      </c>
      <c r="B352" s="25"/>
      <c r="C352" s="25" t="s">
        <v>1989</v>
      </c>
      <c r="D352" s="25"/>
      <c r="E352" s="25"/>
    </row>
    <row r="353" spans="1:5" s="15" customFormat="1" ht="12.95" customHeight="1">
      <c r="A353" s="25" t="s">
        <v>1990</v>
      </c>
      <c r="B353" s="25"/>
      <c r="C353" s="25" t="s">
        <v>1991</v>
      </c>
      <c r="D353" s="25"/>
      <c r="E353" s="25"/>
    </row>
    <row r="354" spans="1:5" s="15" customFormat="1" ht="12.95" customHeight="1">
      <c r="A354" s="25" t="s">
        <v>1992</v>
      </c>
      <c r="B354" s="25"/>
      <c r="C354" s="25" t="s">
        <v>1993</v>
      </c>
      <c r="D354" s="25"/>
      <c r="E354" s="25"/>
    </row>
    <row r="355" spans="1:5" s="15" customFormat="1" ht="12.95" customHeight="1">
      <c r="A355" s="25" t="s">
        <v>1085</v>
      </c>
      <c r="B355" s="25"/>
      <c r="C355" s="25" t="s">
        <v>1994</v>
      </c>
      <c r="D355" s="25"/>
      <c r="E355" s="25"/>
    </row>
    <row r="356" spans="1:5" s="15" customFormat="1" ht="12.95" customHeight="1">
      <c r="A356" s="25" t="s">
        <v>1995</v>
      </c>
      <c r="B356" s="25"/>
      <c r="C356" s="25" t="s">
        <v>1996</v>
      </c>
      <c r="D356" s="25"/>
      <c r="E356" s="25"/>
    </row>
    <row r="357" spans="1:5" s="15" customFormat="1" ht="12.95" customHeight="1">
      <c r="A357" s="25" t="s">
        <v>1997</v>
      </c>
      <c r="B357" s="25"/>
      <c r="C357" s="25" t="s">
        <v>1998</v>
      </c>
      <c r="D357" s="25"/>
      <c r="E357" s="25"/>
    </row>
    <row r="358" spans="1:5" s="15" customFormat="1" ht="12.95" customHeight="1">
      <c r="A358" s="25" t="s">
        <v>1999</v>
      </c>
      <c r="B358" s="25"/>
      <c r="C358" s="25" t="s">
        <v>2000</v>
      </c>
      <c r="D358" s="25"/>
      <c r="E358" s="25"/>
    </row>
    <row r="359" spans="1:5" s="15" customFormat="1" ht="12.95" customHeight="1">
      <c r="A359" s="25" t="s">
        <v>2001</v>
      </c>
      <c r="B359" s="25"/>
      <c r="C359" s="25" t="s">
        <v>2002</v>
      </c>
      <c r="D359" s="25"/>
      <c r="E359" s="25"/>
    </row>
    <row r="360" spans="1:5" s="15" customFormat="1" ht="12.95" customHeight="1">
      <c r="A360" s="25" t="s">
        <v>2003</v>
      </c>
      <c r="B360" s="25"/>
      <c r="C360" s="25" t="s">
        <v>1996</v>
      </c>
      <c r="D360" s="25"/>
      <c r="E360" s="25"/>
    </row>
    <row r="361" spans="1:5" s="15" customFormat="1" ht="12.95" customHeight="1">
      <c r="A361" s="25" t="s">
        <v>2004</v>
      </c>
      <c r="B361" s="25"/>
      <c r="C361" s="25" t="s">
        <v>2005</v>
      </c>
      <c r="D361" s="25"/>
      <c r="E361" s="25"/>
    </row>
    <row r="362" spans="1:5" s="15" customFormat="1" ht="12.95" customHeight="1">
      <c r="A362" s="25" t="s">
        <v>2006</v>
      </c>
      <c r="B362" s="25"/>
      <c r="C362" s="25" t="s">
        <v>2007</v>
      </c>
      <c r="D362" s="25"/>
      <c r="E362" s="25"/>
    </row>
    <row r="363" spans="1:5" s="15" customFormat="1" ht="12.95" customHeight="1">
      <c r="A363" s="25" t="s">
        <v>2008</v>
      </c>
      <c r="B363" s="25"/>
      <c r="C363" s="25" t="s">
        <v>2009</v>
      </c>
      <c r="D363" s="25"/>
      <c r="E363" s="25"/>
    </row>
    <row r="364" spans="1:5" s="15" customFormat="1" ht="12.95" customHeight="1">
      <c r="A364" s="25" t="s">
        <v>2010</v>
      </c>
      <c r="B364" s="25"/>
      <c r="C364" s="25" t="s">
        <v>2011</v>
      </c>
      <c r="D364" s="25"/>
      <c r="E364" s="25"/>
    </row>
    <row r="365" spans="1:5" s="15" customFormat="1" ht="12.95" customHeight="1">
      <c r="A365" s="25" t="s">
        <v>2012</v>
      </c>
      <c r="B365" s="25"/>
      <c r="C365" s="25" t="s">
        <v>2013</v>
      </c>
      <c r="D365" s="25"/>
      <c r="E365" s="25"/>
    </row>
    <row r="366" spans="1:5" s="15" customFormat="1" ht="12.95" customHeight="1">
      <c r="A366" s="25" t="s">
        <v>2014</v>
      </c>
      <c r="B366" s="25"/>
      <c r="C366" s="25" t="s">
        <v>2015</v>
      </c>
      <c r="D366" s="25"/>
      <c r="E366" s="25"/>
    </row>
    <row r="367" spans="1:5" s="15" customFormat="1" ht="12.95" customHeight="1">
      <c r="A367" s="25" t="s">
        <v>2016</v>
      </c>
      <c r="B367" s="25"/>
      <c r="C367" s="25" t="s">
        <v>2017</v>
      </c>
      <c r="D367" s="25"/>
      <c r="E367" s="25"/>
    </row>
    <row r="368" spans="1:5" s="15" customFormat="1" ht="12.95" customHeight="1">
      <c r="A368" s="25" t="s">
        <v>2018</v>
      </c>
      <c r="B368" s="25"/>
      <c r="C368" s="25" t="s">
        <v>2019</v>
      </c>
      <c r="D368" s="25"/>
      <c r="E368" s="25"/>
    </row>
    <row r="369" spans="1:5" s="15" customFormat="1" ht="12.95" customHeight="1">
      <c r="A369" s="25" t="s">
        <v>2020</v>
      </c>
      <c r="B369" s="25"/>
      <c r="C369" s="25" t="s">
        <v>2021</v>
      </c>
      <c r="D369" s="25"/>
      <c r="E369" s="25"/>
    </row>
    <row r="370" spans="1:5" s="15" customFormat="1" ht="12.95" customHeight="1">
      <c r="A370" s="25" t="s">
        <v>2022</v>
      </c>
      <c r="B370" s="25"/>
      <c r="C370" s="25" t="s">
        <v>2023</v>
      </c>
      <c r="D370" s="25"/>
      <c r="E370" s="25"/>
    </row>
    <row r="371" spans="1:5" s="15" customFormat="1" ht="12.95" customHeight="1">
      <c r="A371" s="25" t="s">
        <v>2024</v>
      </c>
      <c r="B371" s="25"/>
      <c r="C371" s="25" t="s">
        <v>2025</v>
      </c>
      <c r="D371" s="25"/>
      <c r="E371" s="25"/>
    </row>
    <row r="372" spans="1:5" s="15" customFormat="1" ht="12.95" customHeight="1">
      <c r="A372" s="25" t="s">
        <v>2026</v>
      </c>
      <c r="B372" s="25"/>
      <c r="C372" s="25" t="s">
        <v>2027</v>
      </c>
      <c r="D372" s="25"/>
      <c r="E372" s="25"/>
    </row>
    <row r="373" spans="1:5" s="15" customFormat="1" ht="12.95" customHeight="1">
      <c r="A373" s="25" t="s">
        <v>2028</v>
      </c>
      <c r="B373" s="25"/>
      <c r="C373" s="25" t="s">
        <v>2029</v>
      </c>
      <c r="D373" s="25"/>
      <c r="E373" s="25"/>
    </row>
    <row r="374" spans="1:5" s="15" customFormat="1" ht="12.95" customHeight="1">
      <c r="A374" s="25" t="s">
        <v>2030</v>
      </c>
      <c r="B374" s="25"/>
      <c r="C374" s="25" t="s">
        <v>2031</v>
      </c>
      <c r="D374" s="25"/>
      <c r="E374" s="25"/>
    </row>
    <row r="375" spans="1:5" s="15" customFormat="1" ht="12.95" customHeight="1">
      <c r="A375" s="25" t="s">
        <v>2032</v>
      </c>
      <c r="B375" s="25"/>
      <c r="C375" s="25" t="s">
        <v>2033</v>
      </c>
      <c r="D375" s="25"/>
      <c r="E375" s="25"/>
    </row>
    <row r="376" spans="1:5" s="15" customFormat="1" ht="12.95" customHeight="1">
      <c r="A376" s="25" t="s">
        <v>2034</v>
      </c>
      <c r="B376" s="25"/>
      <c r="C376" s="25" t="s">
        <v>2035</v>
      </c>
      <c r="D376" s="25"/>
      <c r="E376" s="25"/>
    </row>
    <row r="377" spans="1:5" s="15" customFormat="1" ht="12.95" customHeight="1">
      <c r="A377" s="25" t="s">
        <v>2036</v>
      </c>
      <c r="B377" s="25"/>
      <c r="C377" s="25" t="s">
        <v>2037</v>
      </c>
      <c r="D377" s="25"/>
      <c r="E377" s="25"/>
    </row>
    <row r="378" spans="1:5" s="15" customFormat="1" ht="12.95" customHeight="1">
      <c r="A378" s="25" t="s">
        <v>2038</v>
      </c>
      <c r="B378" s="25"/>
      <c r="C378" s="25" t="s">
        <v>2039</v>
      </c>
      <c r="D378" s="25"/>
      <c r="E378" s="25"/>
    </row>
    <row r="379" spans="1:5" s="15" customFormat="1" ht="12.95" customHeight="1">
      <c r="A379" s="25" t="s">
        <v>2040</v>
      </c>
      <c r="B379" s="25"/>
      <c r="C379" s="25" t="s">
        <v>2041</v>
      </c>
      <c r="D379" s="25"/>
      <c r="E379" s="25"/>
    </row>
    <row r="380" spans="1:5" s="15" customFormat="1" ht="12.95" customHeight="1">
      <c r="A380" s="25" t="s">
        <v>2042</v>
      </c>
      <c r="B380" s="25"/>
      <c r="C380" s="25" t="s">
        <v>2043</v>
      </c>
      <c r="D380" s="25"/>
      <c r="E380" s="25"/>
    </row>
    <row r="381" spans="1:5" s="15" customFormat="1" ht="12.95" customHeight="1">
      <c r="A381" s="25" t="s">
        <v>2044</v>
      </c>
      <c r="B381" s="25"/>
      <c r="C381" s="25" t="s">
        <v>2045</v>
      </c>
      <c r="D381" s="25"/>
      <c r="E381" s="25"/>
    </row>
    <row r="382" spans="1:5" s="15" customFormat="1" ht="12.95" customHeight="1">
      <c r="A382" s="25" t="s">
        <v>2046</v>
      </c>
      <c r="B382" s="25"/>
      <c r="C382" s="25" t="s">
        <v>2047</v>
      </c>
      <c r="D382" s="25"/>
      <c r="E382" s="25"/>
    </row>
    <row r="383" spans="1:5" s="15" customFormat="1" ht="12.95" customHeight="1">
      <c r="A383" s="25" t="s">
        <v>2048</v>
      </c>
      <c r="B383" s="25"/>
      <c r="C383" s="25" t="s">
        <v>2049</v>
      </c>
      <c r="D383" s="25"/>
      <c r="E383" s="25"/>
    </row>
    <row r="384" spans="1:5" s="15" customFormat="1" ht="12.95" customHeight="1">
      <c r="A384" s="25" t="s">
        <v>2050</v>
      </c>
      <c r="B384" s="25"/>
      <c r="C384" s="25" t="s">
        <v>2051</v>
      </c>
      <c r="D384" s="25"/>
      <c r="E384" s="25"/>
    </row>
    <row r="385" spans="1:5" s="15" customFormat="1" ht="12.95" customHeight="1">
      <c r="A385" s="25" t="s">
        <v>2052</v>
      </c>
      <c r="B385" s="25"/>
      <c r="C385" s="25" t="s">
        <v>2053</v>
      </c>
      <c r="D385" s="25"/>
      <c r="E385" s="25"/>
    </row>
    <row r="386" spans="1:5" s="15" customFormat="1" ht="12.95" customHeight="1">
      <c r="A386" s="25" t="s">
        <v>2054</v>
      </c>
      <c r="B386" s="25"/>
      <c r="C386" s="25" t="s">
        <v>2055</v>
      </c>
      <c r="D386" s="25"/>
      <c r="E386" s="25"/>
    </row>
    <row r="387" spans="1:5" s="15" customFormat="1" ht="12.95" customHeight="1">
      <c r="A387" s="25" t="s">
        <v>2056</v>
      </c>
      <c r="B387" s="25"/>
      <c r="C387" s="25" t="s">
        <v>2051</v>
      </c>
      <c r="D387" s="25"/>
      <c r="E387" s="25"/>
    </row>
    <row r="388" spans="1:5" s="15" customFormat="1" ht="12.95" customHeight="1">
      <c r="A388" s="25" t="s">
        <v>2057</v>
      </c>
      <c r="B388" s="25"/>
      <c r="C388" s="25" t="s">
        <v>2055</v>
      </c>
      <c r="D388" s="25"/>
      <c r="E388" s="25"/>
    </row>
    <row r="389" spans="1:5" s="15" customFormat="1" ht="12.95" customHeight="1">
      <c r="A389" s="25" t="s">
        <v>2058</v>
      </c>
      <c r="B389" s="25"/>
      <c r="C389" s="25" t="s">
        <v>2059</v>
      </c>
      <c r="D389" s="25"/>
      <c r="E389" s="25"/>
    </row>
    <row r="390" spans="1:5" s="15" customFormat="1" ht="12.95" customHeight="1">
      <c r="A390" s="25" t="s">
        <v>2060</v>
      </c>
      <c r="B390" s="25"/>
      <c r="C390" s="25" t="s">
        <v>2061</v>
      </c>
      <c r="D390" s="25"/>
      <c r="E390" s="25"/>
    </row>
    <row r="391" spans="1:5" s="15" customFormat="1" ht="12.95" customHeight="1">
      <c r="A391" s="25" t="s">
        <v>2062</v>
      </c>
      <c r="B391" s="25"/>
      <c r="C391" s="25" t="s">
        <v>2063</v>
      </c>
      <c r="D391" s="25"/>
      <c r="E391" s="25"/>
    </row>
    <row r="392" spans="1:5" s="15" customFormat="1" ht="12.95" customHeight="1">
      <c r="A392" s="25" t="s">
        <v>2064</v>
      </c>
      <c r="B392" s="25"/>
      <c r="C392" s="25" t="s">
        <v>2065</v>
      </c>
      <c r="D392" s="25"/>
      <c r="E392" s="25"/>
    </row>
    <row r="393" spans="1:5" s="15" customFormat="1" ht="12.95" customHeight="1">
      <c r="A393" s="25" t="s">
        <v>2066</v>
      </c>
      <c r="B393" s="25"/>
      <c r="C393" s="25" t="s">
        <v>2067</v>
      </c>
      <c r="D393" s="25"/>
      <c r="E393" s="25"/>
    </row>
    <row r="394" spans="1:5" s="15" customFormat="1" ht="12.95" customHeight="1">
      <c r="A394" s="25" t="s">
        <v>2068</v>
      </c>
      <c r="B394" s="25"/>
      <c r="C394" s="25" t="s">
        <v>2069</v>
      </c>
      <c r="D394" s="25"/>
      <c r="E394" s="25"/>
    </row>
    <row r="395" spans="1:5" s="15" customFormat="1" ht="12.95" customHeight="1">
      <c r="A395" s="25" t="s">
        <v>2070</v>
      </c>
      <c r="B395" s="25"/>
      <c r="C395" s="25" t="s">
        <v>2071</v>
      </c>
      <c r="D395" s="25"/>
      <c r="E395" s="25"/>
    </row>
    <row r="396" spans="1:5" s="15" customFormat="1" ht="12.95" customHeight="1">
      <c r="A396" s="25" t="s">
        <v>2072</v>
      </c>
      <c r="B396" s="25"/>
      <c r="C396" s="25" t="s">
        <v>2073</v>
      </c>
      <c r="D396" s="25"/>
      <c r="E396" s="25"/>
    </row>
    <row r="397" spans="1:5" s="15" customFormat="1" ht="12.95" customHeight="1">
      <c r="A397" s="25" t="s">
        <v>2074</v>
      </c>
      <c r="B397" s="25"/>
      <c r="C397" s="25" t="s">
        <v>2075</v>
      </c>
      <c r="D397" s="25"/>
      <c r="E397" s="25"/>
    </row>
    <row r="398" spans="1:5" s="15" customFormat="1" ht="12.95" customHeight="1">
      <c r="A398" s="25" t="s">
        <v>2076</v>
      </c>
      <c r="B398" s="25"/>
      <c r="C398" s="25" t="s">
        <v>2077</v>
      </c>
      <c r="D398" s="25"/>
      <c r="E398" s="25"/>
    </row>
    <row r="399" spans="1:5" s="15" customFormat="1" ht="12.95" customHeight="1">
      <c r="A399" s="25" t="s">
        <v>2078</v>
      </c>
      <c r="B399" s="25"/>
      <c r="C399" s="25" t="s">
        <v>2079</v>
      </c>
      <c r="D399" s="25"/>
      <c r="E399" s="25"/>
    </row>
    <row r="400" spans="1:5" s="15" customFormat="1" ht="12.95" customHeight="1">
      <c r="A400" s="25" t="s">
        <v>2080</v>
      </c>
      <c r="B400" s="25"/>
      <c r="C400" s="25" t="s">
        <v>2081</v>
      </c>
      <c r="D400" s="25"/>
      <c r="E400" s="25"/>
    </row>
    <row r="401" spans="1:5" s="15" customFormat="1" ht="12.95" customHeight="1">
      <c r="A401" s="25" t="s">
        <v>2082</v>
      </c>
      <c r="B401" s="25"/>
      <c r="C401" s="25" t="s">
        <v>2083</v>
      </c>
      <c r="D401" s="25"/>
      <c r="E401" s="25"/>
    </row>
    <row r="402" spans="1:5" s="15" customFormat="1" ht="12.95" customHeight="1">
      <c r="A402" s="25" t="s">
        <v>2084</v>
      </c>
      <c r="B402" s="25"/>
      <c r="C402" s="25" t="s">
        <v>2085</v>
      </c>
      <c r="D402" s="25"/>
      <c r="E402" s="25"/>
    </row>
    <row r="403" spans="1:5" s="15" customFormat="1" ht="12.95" customHeight="1">
      <c r="A403" s="25" t="s">
        <v>2086</v>
      </c>
      <c r="B403" s="25"/>
      <c r="C403" s="25" t="s">
        <v>2087</v>
      </c>
      <c r="D403" s="25"/>
      <c r="E403" s="25"/>
    </row>
    <row r="404" spans="1:5" s="15" customFormat="1" ht="12.95" customHeight="1">
      <c r="A404" s="25" t="s">
        <v>2088</v>
      </c>
      <c r="B404" s="25"/>
      <c r="C404" s="25" t="s">
        <v>2089</v>
      </c>
      <c r="D404" s="25"/>
      <c r="E404" s="25"/>
    </row>
    <row r="405" spans="1:5" s="15" customFormat="1" ht="12.95" customHeight="1">
      <c r="A405" s="25" t="s">
        <v>2090</v>
      </c>
      <c r="B405" s="25"/>
      <c r="C405" s="25" t="s">
        <v>2091</v>
      </c>
      <c r="D405" s="25"/>
      <c r="E405" s="25"/>
    </row>
    <row r="406" spans="1:5" s="15" customFormat="1" ht="12.95" customHeight="1">
      <c r="A406" s="25" t="s">
        <v>2092</v>
      </c>
      <c r="B406" s="25"/>
      <c r="C406" s="25" t="s">
        <v>2093</v>
      </c>
      <c r="D406" s="25"/>
      <c r="E406" s="25"/>
    </row>
    <row r="407" spans="1:5" s="15" customFormat="1" ht="12.95" customHeight="1">
      <c r="A407" s="25" t="s">
        <v>2094</v>
      </c>
      <c r="B407" s="25"/>
      <c r="C407" s="25" t="s">
        <v>2095</v>
      </c>
      <c r="D407" s="25"/>
      <c r="E407" s="25"/>
    </row>
    <row r="408" spans="1:5" s="15" customFormat="1" ht="12.95" customHeight="1">
      <c r="A408" s="25" t="s">
        <v>2096</v>
      </c>
      <c r="B408" s="25"/>
      <c r="C408" s="25" t="s">
        <v>2097</v>
      </c>
      <c r="D408" s="25"/>
      <c r="E408" s="25"/>
    </row>
    <row r="409" spans="1:5" s="15" customFormat="1" ht="12.95" customHeight="1">
      <c r="A409" s="25" t="s">
        <v>2098</v>
      </c>
      <c r="B409" s="25"/>
      <c r="C409" s="25" t="s">
        <v>2099</v>
      </c>
      <c r="D409" s="25"/>
      <c r="E409" s="25"/>
    </row>
    <row r="410" spans="1:5" s="15" customFormat="1" ht="12.95" customHeight="1">
      <c r="A410" s="25" t="s">
        <v>2100</v>
      </c>
      <c r="B410" s="25"/>
      <c r="C410" s="25" t="s">
        <v>2101</v>
      </c>
      <c r="D410" s="25"/>
      <c r="E410" s="25"/>
    </row>
    <row r="411" spans="1:5" s="15" customFormat="1" ht="12.95" customHeight="1">
      <c r="A411" s="25" t="s">
        <v>2102</v>
      </c>
      <c r="B411" s="25"/>
      <c r="C411" s="25" t="s">
        <v>2103</v>
      </c>
      <c r="D411" s="25"/>
      <c r="E411" s="25"/>
    </row>
    <row r="412" spans="1:5" s="15" customFormat="1" ht="12.95" customHeight="1">
      <c r="A412" s="25" t="s">
        <v>2104</v>
      </c>
      <c r="B412" s="25"/>
      <c r="C412" s="25" t="s">
        <v>2105</v>
      </c>
      <c r="D412" s="25"/>
      <c r="E412" s="25"/>
    </row>
    <row r="413" spans="1:5" s="15" customFormat="1" ht="12.95" customHeight="1">
      <c r="A413" s="25" t="s">
        <v>2106</v>
      </c>
      <c r="B413" s="25"/>
      <c r="C413" s="25" t="s">
        <v>2107</v>
      </c>
      <c r="D413" s="25"/>
      <c r="E413" s="25"/>
    </row>
    <row r="414" spans="1:5" s="15" customFormat="1" ht="12.95" customHeight="1">
      <c r="A414" s="25" t="s">
        <v>2108</v>
      </c>
      <c r="B414" s="25"/>
      <c r="C414" s="25" t="s">
        <v>2103</v>
      </c>
      <c r="D414" s="25"/>
      <c r="E414" s="25"/>
    </row>
    <row r="415" spans="1:5" s="15" customFormat="1" ht="12.95" customHeight="1">
      <c r="A415" s="25" t="s">
        <v>2109</v>
      </c>
      <c r="B415" s="25"/>
      <c r="C415" s="25" t="s">
        <v>2105</v>
      </c>
      <c r="D415" s="25"/>
      <c r="E415" s="25"/>
    </row>
    <row r="416" spans="1:5" s="15" customFormat="1" ht="12.95" customHeight="1">
      <c r="A416" s="25" t="s">
        <v>2110</v>
      </c>
      <c r="B416" s="25"/>
      <c r="C416" s="25" t="s">
        <v>2111</v>
      </c>
      <c r="D416" s="25"/>
      <c r="E416" s="25"/>
    </row>
    <row r="417" spans="1:5" s="15" customFormat="1" ht="12.95" customHeight="1">
      <c r="A417" s="25" t="s">
        <v>2112</v>
      </c>
      <c r="B417" s="25"/>
      <c r="C417" s="25" t="s">
        <v>2113</v>
      </c>
      <c r="D417" s="25"/>
      <c r="E417" s="25"/>
    </row>
    <row r="418" spans="1:5" s="15" customFormat="1" ht="12.95" customHeight="1">
      <c r="A418" s="25" t="s">
        <v>2114</v>
      </c>
      <c r="B418" s="25"/>
      <c r="C418" s="25" t="s">
        <v>2115</v>
      </c>
      <c r="D418" s="25"/>
      <c r="E418" s="25"/>
    </row>
    <row r="419" spans="1:5" s="15" customFormat="1" ht="12.95" customHeight="1">
      <c r="A419" s="25" t="s">
        <v>2116</v>
      </c>
      <c r="B419" s="25"/>
      <c r="C419" s="25" t="s">
        <v>2117</v>
      </c>
      <c r="D419" s="25"/>
      <c r="E419" s="25"/>
    </row>
    <row r="420" spans="1:5" s="15" customFormat="1" ht="12.95" customHeight="1">
      <c r="A420" s="25" t="s">
        <v>2118</v>
      </c>
      <c r="B420" s="25"/>
      <c r="C420" s="25" t="s">
        <v>2119</v>
      </c>
      <c r="D420" s="25"/>
      <c r="E420" s="25"/>
    </row>
    <row r="421" spans="1:5" s="15" customFormat="1" ht="12.95" customHeight="1">
      <c r="A421" s="25" t="s">
        <v>2120</v>
      </c>
      <c r="B421" s="25"/>
      <c r="C421" s="25" t="s">
        <v>2121</v>
      </c>
      <c r="D421" s="25"/>
      <c r="E421" s="25"/>
    </row>
    <row r="422" spans="1:5" s="15" customFormat="1" ht="12.95" customHeight="1">
      <c r="A422" s="25" t="s">
        <v>2122</v>
      </c>
      <c r="B422" s="25"/>
      <c r="C422" s="25" t="s">
        <v>2123</v>
      </c>
      <c r="D422" s="25"/>
      <c r="E422" s="25"/>
    </row>
    <row r="423" spans="1:5" s="15" customFormat="1" ht="12.95" customHeight="1">
      <c r="A423" s="25" t="s">
        <v>2124</v>
      </c>
      <c r="B423" s="25"/>
      <c r="C423" s="25" t="s">
        <v>2125</v>
      </c>
      <c r="D423" s="25"/>
      <c r="E423" s="25"/>
    </row>
    <row r="424" spans="1:5" s="15" customFormat="1" ht="12.95" customHeight="1">
      <c r="A424" s="25" t="s">
        <v>2126</v>
      </c>
      <c r="B424" s="25"/>
      <c r="C424" s="25" t="s">
        <v>2127</v>
      </c>
      <c r="D424" s="25"/>
      <c r="E424" s="25"/>
    </row>
    <row r="425" spans="1:5" s="15" customFormat="1" ht="12.95" customHeight="1">
      <c r="A425" s="25" t="s">
        <v>2128</v>
      </c>
      <c r="B425" s="25"/>
      <c r="C425" s="25" t="s">
        <v>2129</v>
      </c>
      <c r="D425" s="25"/>
      <c r="E425" s="25"/>
    </row>
    <row r="426" spans="1:5" s="15" customFormat="1" ht="12.95" customHeight="1">
      <c r="A426" s="25" t="s">
        <v>2130</v>
      </c>
      <c r="B426" s="25"/>
      <c r="C426" s="25" t="s">
        <v>2131</v>
      </c>
      <c r="D426" s="25"/>
      <c r="E426" s="25"/>
    </row>
    <row r="427" spans="1:5" s="15" customFormat="1" ht="12.95" customHeight="1">
      <c r="A427" s="25" t="s">
        <v>2132</v>
      </c>
      <c r="B427" s="25"/>
      <c r="C427" s="25" t="s">
        <v>2133</v>
      </c>
      <c r="D427" s="25"/>
      <c r="E427" s="25"/>
    </row>
    <row r="428" spans="1:5" s="15" customFormat="1" ht="12.95" customHeight="1">
      <c r="A428" s="25" t="s">
        <v>2134</v>
      </c>
      <c r="B428" s="25"/>
      <c r="C428" s="25" t="s">
        <v>2135</v>
      </c>
      <c r="D428" s="25"/>
      <c r="E428" s="25"/>
    </row>
    <row r="429" spans="1:5" s="15" customFormat="1" ht="12.95" customHeight="1">
      <c r="A429" s="25" t="s">
        <v>2136</v>
      </c>
      <c r="B429" s="25"/>
      <c r="C429" s="25" t="s">
        <v>2137</v>
      </c>
      <c r="D429" s="25"/>
      <c r="E429" s="25"/>
    </row>
    <row r="430" spans="1:5" s="15" customFormat="1" ht="12.95" customHeight="1">
      <c r="A430" s="25" t="s">
        <v>2138</v>
      </c>
      <c r="B430" s="25"/>
      <c r="C430" s="25" t="s">
        <v>2139</v>
      </c>
      <c r="D430" s="25"/>
      <c r="E430" s="25"/>
    </row>
    <row r="431" spans="1:5" s="15" customFormat="1" ht="12.95" customHeight="1">
      <c r="A431" s="25" t="s">
        <v>2140</v>
      </c>
      <c r="B431" s="25"/>
      <c r="C431" s="25" t="s">
        <v>2141</v>
      </c>
      <c r="D431" s="25"/>
      <c r="E431" s="25"/>
    </row>
    <row r="432" spans="1:5" s="15" customFormat="1" ht="12.95" customHeight="1">
      <c r="A432" s="25" t="s">
        <v>2142</v>
      </c>
      <c r="B432" s="25"/>
      <c r="C432" s="25" t="s">
        <v>2143</v>
      </c>
      <c r="D432" s="25"/>
      <c r="E432" s="25"/>
    </row>
    <row r="433" spans="1:5" s="15" customFormat="1" ht="12.95" customHeight="1">
      <c r="A433" s="25" t="s">
        <v>2144</v>
      </c>
      <c r="B433" s="25"/>
      <c r="C433" s="25" t="s">
        <v>2145</v>
      </c>
      <c r="D433" s="25"/>
      <c r="E433" s="25"/>
    </row>
    <row r="434" spans="1:5" s="15" customFormat="1" ht="12.95" customHeight="1">
      <c r="A434" s="25" t="s">
        <v>2146</v>
      </c>
      <c r="B434" s="25"/>
      <c r="C434" s="25" t="s">
        <v>2147</v>
      </c>
      <c r="D434" s="25"/>
      <c r="E434" s="25"/>
    </row>
    <row r="435" spans="1:5" s="15" customFormat="1" ht="12.95" customHeight="1">
      <c r="A435" s="25" t="s">
        <v>2148</v>
      </c>
      <c r="B435" s="25"/>
      <c r="C435" s="25" t="s">
        <v>2149</v>
      </c>
      <c r="D435" s="25"/>
      <c r="E435" s="25"/>
    </row>
    <row r="436" spans="1:5" s="15" customFormat="1" ht="26.1" customHeight="1">
      <c r="A436" s="25" t="s">
        <v>2150</v>
      </c>
      <c r="B436" s="25"/>
      <c r="C436" s="25" t="s">
        <v>2151</v>
      </c>
      <c r="D436" s="25"/>
      <c r="E436" s="25"/>
    </row>
    <row r="437" spans="1:5" s="15" customFormat="1" ht="12.95" customHeight="1">
      <c r="A437" s="25" t="s">
        <v>2152</v>
      </c>
      <c r="B437" s="25"/>
      <c r="C437" s="25" t="s">
        <v>2153</v>
      </c>
      <c r="D437" s="25"/>
      <c r="E437" s="25"/>
    </row>
    <row r="438" spans="1:5" s="15" customFormat="1" ht="12.95" customHeight="1">
      <c r="A438" s="25" t="s">
        <v>2154</v>
      </c>
      <c r="B438" s="25"/>
      <c r="C438" s="25" t="s">
        <v>2155</v>
      </c>
      <c r="D438" s="25"/>
      <c r="E438" s="25"/>
    </row>
    <row r="439" spans="1:5" s="15" customFormat="1" ht="12.95" customHeight="1">
      <c r="A439" s="25" t="s">
        <v>2156</v>
      </c>
      <c r="B439" s="25"/>
      <c r="C439" s="25" t="s">
        <v>2157</v>
      </c>
      <c r="D439" s="25"/>
      <c r="E439" s="25"/>
    </row>
    <row r="440" spans="1:5" s="15" customFormat="1" ht="12.95" customHeight="1">
      <c r="A440" s="25" t="s">
        <v>2158</v>
      </c>
      <c r="B440" s="25"/>
      <c r="C440" s="25" t="s">
        <v>2159</v>
      </c>
      <c r="D440" s="25"/>
      <c r="E440" s="25"/>
    </row>
    <row r="441" spans="1:5" s="15" customFormat="1" ht="12.95" customHeight="1">
      <c r="A441" s="25" t="s">
        <v>2160</v>
      </c>
      <c r="B441" s="25"/>
      <c r="C441" s="25" t="s">
        <v>2161</v>
      </c>
      <c r="D441" s="25"/>
      <c r="E441" s="25"/>
    </row>
    <row r="442" spans="1:5" s="15" customFormat="1" ht="12.95" customHeight="1">
      <c r="A442" s="25" t="s">
        <v>2162</v>
      </c>
      <c r="B442" s="25"/>
      <c r="C442" s="25" t="s">
        <v>2163</v>
      </c>
      <c r="D442" s="25"/>
      <c r="E442" s="25"/>
    </row>
    <row r="443" spans="1:5" s="15" customFormat="1" ht="12.95" customHeight="1">
      <c r="A443" s="25" t="s">
        <v>2164</v>
      </c>
      <c r="B443" s="25"/>
      <c r="C443" s="25" t="s">
        <v>2165</v>
      </c>
      <c r="D443" s="25"/>
      <c r="E443" s="25"/>
    </row>
    <row r="444" spans="1:5" s="15" customFormat="1" ht="12.95" customHeight="1">
      <c r="A444" s="25" t="s">
        <v>2166</v>
      </c>
      <c r="B444" s="25"/>
      <c r="C444" s="25" t="s">
        <v>2167</v>
      </c>
      <c r="D444" s="25"/>
      <c r="E444" s="25"/>
    </row>
    <row r="445" spans="1:5" s="15" customFormat="1" ht="12.95" customHeight="1">
      <c r="A445" s="25" t="s">
        <v>2168</v>
      </c>
      <c r="B445" s="25"/>
      <c r="C445" s="25" t="s">
        <v>2169</v>
      </c>
      <c r="D445" s="25"/>
      <c r="E445" s="25"/>
    </row>
    <row r="446" spans="1:5" s="15" customFormat="1" ht="12.95" customHeight="1">
      <c r="A446" s="25" t="s">
        <v>2170</v>
      </c>
      <c r="B446" s="25"/>
      <c r="C446" s="25" t="s">
        <v>2171</v>
      </c>
      <c r="D446" s="25"/>
      <c r="E446" s="25"/>
    </row>
    <row r="447" spans="1:5" s="15" customFormat="1" ht="12.95" customHeight="1">
      <c r="A447" s="25" t="s">
        <v>2172</v>
      </c>
      <c r="B447" s="25"/>
      <c r="C447" s="25" t="s">
        <v>2173</v>
      </c>
      <c r="D447" s="25"/>
      <c r="E447" s="25"/>
    </row>
    <row r="448" spans="1:5" s="15" customFormat="1" ht="12.95" customHeight="1">
      <c r="A448" s="25" t="s">
        <v>2174</v>
      </c>
      <c r="B448" s="25"/>
      <c r="C448" s="25" t="s">
        <v>2175</v>
      </c>
      <c r="D448" s="25"/>
      <c r="E448" s="25"/>
    </row>
    <row r="449" spans="1:5" s="15" customFormat="1" ht="12.95" customHeight="1">
      <c r="A449" s="25" t="s">
        <v>2176</v>
      </c>
      <c r="B449" s="25"/>
      <c r="C449" s="25" t="s">
        <v>2177</v>
      </c>
      <c r="D449" s="25"/>
      <c r="E449" s="25"/>
    </row>
    <row r="450" spans="1:5" s="15" customFormat="1" ht="12.95" customHeight="1">
      <c r="A450" s="25" t="s">
        <v>2178</v>
      </c>
      <c r="B450" s="25"/>
      <c r="C450" s="25" t="s">
        <v>2167</v>
      </c>
      <c r="D450" s="25"/>
      <c r="E450" s="25"/>
    </row>
    <row r="451" spans="1:5" s="15" customFormat="1" ht="12.95" customHeight="1">
      <c r="A451" s="25" t="s">
        <v>2179</v>
      </c>
      <c r="B451" s="25"/>
      <c r="C451" s="25" t="s">
        <v>2177</v>
      </c>
      <c r="D451" s="25"/>
      <c r="E451" s="25"/>
    </row>
    <row r="452" spans="1:5" s="15" customFormat="1" ht="12.95" customHeight="1">
      <c r="A452" s="25" t="s">
        <v>2180</v>
      </c>
      <c r="B452" s="25"/>
      <c r="C452" s="25" t="s">
        <v>2181</v>
      </c>
      <c r="D452" s="25"/>
      <c r="E452" s="25"/>
    </row>
    <row r="453" spans="1:5" s="15" customFormat="1" ht="12.95" customHeight="1">
      <c r="A453" s="25" t="s">
        <v>2182</v>
      </c>
      <c r="B453" s="25"/>
      <c r="C453" s="25" t="s">
        <v>2183</v>
      </c>
      <c r="D453" s="25"/>
      <c r="E453" s="25"/>
    </row>
    <row r="454" spans="1:5" s="15" customFormat="1" ht="12.95" customHeight="1">
      <c r="A454" s="25" t="s">
        <v>2184</v>
      </c>
      <c r="B454" s="25"/>
      <c r="C454" s="25" t="s">
        <v>2185</v>
      </c>
      <c r="D454" s="25"/>
      <c r="E454" s="25"/>
    </row>
    <row r="455" spans="1:5" s="15" customFormat="1" ht="12.95" customHeight="1">
      <c r="A455" s="25" t="s">
        <v>2186</v>
      </c>
      <c r="B455" s="25"/>
      <c r="C455" s="25" t="s">
        <v>2187</v>
      </c>
      <c r="D455" s="25"/>
      <c r="E455" s="25"/>
    </row>
    <row r="456" spans="1:5" s="15" customFormat="1" ht="12.95" customHeight="1">
      <c r="A456" s="25" t="s">
        <v>2188</v>
      </c>
      <c r="B456" s="25"/>
      <c r="C456" s="25" t="s">
        <v>2189</v>
      </c>
      <c r="D456" s="25"/>
      <c r="E456" s="25"/>
    </row>
    <row r="457" spans="1:5" s="15" customFormat="1" ht="12.95" customHeight="1">
      <c r="A457" s="25" t="s">
        <v>2190</v>
      </c>
      <c r="B457" s="25"/>
      <c r="C457" s="25" t="s">
        <v>2191</v>
      </c>
      <c r="D457" s="25"/>
      <c r="E457" s="25"/>
    </row>
    <row r="458" spans="1:5" s="15" customFormat="1" ht="26.1" customHeight="1">
      <c r="A458" s="25" t="s">
        <v>2192</v>
      </c>
      <c r="B458" s="25"/>
      <c r="C458" s="25" t="s">
        <v>2193</v>
      </c>
      <c r="D458" s="25"/>
      <c r="E458" s="25"/>
    </row>
    <row r="459" spans="1:5" s="15" customFormat="1" ht="12.95" customHeight="1">
      <c r="A459" s="25" t="s">
        <v>2194</v>
      </c>
      <c r="B459" s="25"/>
      <c r="C459" s="25" t="s">
        <v>2195</v>
      </c>
      <c r="D459" s="25"/>
      <c r="E459" s="25"/>
    </row>
    <row r="460" spans="1:5" s="15" customFormat="1" ht="12.95" customHeight="1">
      <c r="A460" s="25" t="s">
        <v>2196</v>
      </c>
      <c r="B460" s="25"/>
      <c r="C460" s="25" t="s">
        <v>2197</v>
      </c>
      <c r="D460" s="25"/>
      <c r="E460" s="25"/>
    </row>
    <row r="461" spans="1:5" s="15" customFormat="1" ht="12.95" customHeight="1">
      <c r="A461" s="25" t="s">
        <v>2198</v>
      </c>
      <c r="B461" s="25"/>
      <c r="C461" s="25" t="s">
        <v>2199</v>
      </c>
      <c r="D461" s="25"/>
      <c r="E461" s="25"/>
    </row>
    <row r="462" spans="1:5" s="15" customFormat="1" ht="12.95" customHeight="1">
      <c r="A462" s="25" t="s">
        <v>2200</v>
      </c>
      <c r="B462" s="25"/>
      <c r="C462" s="25" t="s">
        <v>2201</v>
      </c>
      <c r="D462" s="25"/>
      <c r="E462" s="25"/>
    </row>
    <row r="463" spans="1:5" s="15" customFormat="1" ht="12.95" customHeight="1">
      <c r="A463" s="25" t="s">
        <v>2202</v>
      </c>
      <c r="B463" s="25"/>
      <c r="C463" s="25" t="s">
        <v>2203</v>
      </c>
      <c r="D463" s="25"/>
      <c r="E463" s="25"/>
    </row>
    <row r="464" spans="1:5" s="15" customFormat="1" ht="12.95" customHeight="1">
      <c r="A464" s="25" t="s">
        <v>2204</v>
      </c>
      <c r="B464" s="25"/>
      <c r="C464" s="25" t="s">
        <v>2205</v>
      </c>
      <c r="D464" s="25"/>
      <c r="E464" s="25"/>
    </row>
    <row r="465" spans="1:5" s="15" customFormat="1" ht="12.95" customHeight="1">
      <c r="A465" s="25" t="s">
        <v>2206</v>
      </c>
      <c r="B465" s="25"/>
      <c r="C465" s="25" t="s">
        <v>2207</v>
      </c>
      <c r="D465" s="25"/>
      <c r="E465" s="25"/>
    </row>
    <row r="466" spans="1:5" s="15" customFormat="1" ht="12.95" customHeight="1">
      <c r="A466" s="25" t="s">
        <v>2208</v>
      </c>
      <c r="B466" s="25"/>
      <c r="C466" s="25" t="s">
        <v>2209</v>
      </c>
      <c r="D466" s="25"/>
      <c r="E466" s="25"/>
    </row>
    <row r="467" spans="1:5" s="15" customFormat="1" ht="26.1" customHeight="1">
      <c r="A467" s="25" t="s">
        <v>2210</v>
      </c>
      <c r="B467" s="25"/>
      <c r="C467" s="25" t="s">
        <v>2211</v>
      </c>
      <c r="D467" s="25"/>
      <c r="E467" s="25"/>
    </row>
    <row r="468" spans="1:5" s="15" customFormat="1" ht="12.95" customHeight="1">
      <c r="A468" s="25" t="s">
        <v>2212</v>
      </c>
      <c r="B468" s="25"/>
      <c r="C468" s="25" t="s">
        <v>2213</v>
      </c>
      <c r="D468" s="25"/>
      <c r="E468" s="25"/>
    </row>
    <row r="469" spans="1:5" s="15" customFormat="1" ht="12.95" customHeight="1">
      <c r="A469" s="25" t="s">
        <v>2214</v>
      </c>
      <c r="B469" s="25"/>
      <c r="C469" s="25" t="s">
        <v>2215</v>
      </c>
      <c r="D469" s="25"/>
      <c r="E469" s="25"/>
    </row>
    <row r="470" spans="1:5" s="15" customFormat="1" ht="12.95" customHeight="1">
      <c r="A470" s="25" t="s">
        <v>2216</v>
      </c>
      <c r="B470" s="25"/>
      <c r="C470" s="25" t="s">
        <v>2217</v>
      </c>
      <c r="D470" s="25"/>
      <c r="E470" s="25"/>
    </row>
    <row r="471" spans="1:5" s="15" customFormat="1" ht="12.95" customHeight="1">
      <c r="A471" s="25" t="s">
        <v>2218</v>
      </c>
      <c r="B471" s="25"/>
      <c r="C471" s="25" t="s">
        <v>2219</v>
      </c>
      <c r="D471" s="25"/>
      <c r="E471" s="25"/>
    </row>
    <row r="472" spans="1:5" s="15" customFormat="1" ht="12.95" customHeight="1">
      <c r="A472" s="25" t="s">
        <v>2220</v>
      </c>
      <c r="B472" s="25"/>
      <c r="C472" s="25" t="s">
        <v>2221</v>
      </c>
      <c r="D472" s="25"/>
      <c r="E472" s="25"/>
    </row>
    <row r="473" spans="1:5" s="15" customFormat="1" ht="12.95" customHeight="1">
      <c r="A473" s="25" t="s">
        <v>2222</v>
      </c>
      <c r="B473" s="25"/>
      <c r="C473" s="25" t="s">
        <v>2223</v>
      </c>
      <c r="D473" s="25"/>
      <c r="E473" s="25"/>
    </row>
    <row r="474" spans="1:5" s="15" customFormat="1" ht="12.95" customHeight="1">
      <c r="A474" s="25" t="s">
        <v>2224</v>
      </c>
      <c r="B474" s="25"/>
      <c r="C474" s="25" t="s">
        <v>2225</v>
      </c>
      <c r="D474" s="25"/>
      <c r="E474" s="25"/>
    </row>
    <row r="475" spans="1:5" s="15" customFormat="1" ht="12.95" customHeight="1">
      <c r="A475" s="25" t="s">
        <v>2226</v>
      </c>
      <c r="B475" s="25"/>
      <c r="C475" s="25" t="s">
        <v>2227</v>
      </c>
      <c r="D475" s="25"/>
      <c r="E475" s="25"/>
    </row>
    <row r="476" spans="1:5" s="15" customFormat="1" ht="12.95" customHeight="1">
      <c r="A476" s="25" t="s">
        <v>2228</v>
      </c>
      <c r="B476" s="25"/>
      <c r="C476" s="25" t="s">
        <v>2229</v>
      </c>
      <c r="D476" s="25"/>
      <c r="E476" s="25"/>
    </row>
    <row r="477" spans="1:5" s="15" customFormat="1" ht="12.95" customHeight="1">
      <c r="A477" s="25" t="s">
        <v>2230</v>
      </c>
      <c r="B477" s="25"/>
      <c r="C477" s="25" t="s">
        <v>2231</v>
      </c>
      <c r="D477" s="25"/>
      <c r="E477" s="25"/>
    </row>
    <row r="478" spans="1:5" s="15" customFormat="1" ht="12.95" customHeight="1">
      <c r="A478" s="25" t="s">
        <v>2232</v>
      </c>
      <c r="B478" s="25"/>
      <c r="C478" s="25" t="s">
        <v>2233</v>
      </c>
      <c r="D478" s="25"/>
      <c r="E478" s="25"/>
    </row>
    <row r="479" spans="1:5" s="15" customFormat="1" ht="12.95" customHeight="1">
      <c r="A479" s="25" t="s">
        <v>2234</v>
      </c>
      <c r="B479" s="25"/>
      <c r="C479" s="25" t="s">
        <v>2235</v>
      </c>
      <c r="D479" s="25"/>
      <c r="E479" s="25"/>
    </row>
    <row r="480" spans="1:5" s="15" customFormat="1" ht="12.95" customHeight="1">
      <c r="A480" s="25" t="s">
        <v>2236</v>
      </c>
      <c r="B480" s="25"/>
      <c r="C480" s="25" t="s">
        <v>2237</v>
      </c>
      <c r="D480" s="25"/>
      <c r="E480" s="25"/>
    </row>
    <row r="481" spans="1:5" s="15" customFormat="1" ht="12.95" customHeight="1">
      <c r="A481" s="25" t="s">
        <v>2238</v>
      </c>
      <c r="B481" s="25"/>
      <c r="C481" s="25" t="s">
        <v>2239</v>
      </c>
      <c r="D481" s="25"/>
      <c r="E481" s="25"/>
    </row>
    <row r="482" spans="1:5" s="15" customFormat="1" ht="12.95" customHeight="1">
      <c r="A482" s="25" t="s">
        <v>2240</v>
      </c>
      <c r="B482" s="25"/>
      <c r="C482" s="25" t="s">
        <v>2241</v>
      </c>
      <c r="D482" s="25"/>
      <c r="E482" s="25"/>
    </row>
    <row r="483" spans="1:5" s="15" customFormat="1" ht="12.95" customHeight="1">
      <c r="A483" s="25" t="s">
        <v>2242</v>
      </c>
      <c r="B483" s="25"/>
      <c r="C483" s="25" t="s">
        <v>2239</v>
      </c>
      <c r="D483" s="25"/>
      <c r="E483" s="25"/>
    </row>
    <row r="484" spans="1:5" s="15" customFormat="1" ht="12.95" customHeight="1">
      <c r="A484" s="25" t="s">
        <v>2243</v>
      </c>
      <c r="B484" s="25"/>
      <c r="C484" s="25" t="s">
        <v>2235</v>
      </c>
      <c r="D484" s="25"/>
      <c r="E484" s="25"/>
    </row>
    <row r="485" spans="1:5" s="15" customFormat="1" ht="12.95" customHeight="1">
      <c r="A485" s="25" t="s">
        <v>2244</v>
      </c>
      <c r="B485" s="25"/>
      <c r="C485" s="25" t="s">
        <v>2245</v>
      </c>
      <c r="D485" s="25"/>
      <c r="E485" s="25"/>
    </row>
    <row r="486" spans="1:5" s="15" customFormat="1" ht="12.95" customHeight="1">
      <c r="A486" s="25" t="s">
        <v>2246</v>
      </c>
      <c r="B486" s="25"/>
      <c r="C486" s="25" t="s">
        <v>2247</v>
      </c>
      <c r="D486" s="25"/>
      <c r="E486" s="25"/>
    </row>
    <row r="487" spans="1:5" s="15" customFormat="1" ht="12.95" customHeight="1">
      <c r="A487" s="25" t="s">
        <v>2248</v>
      </c>
      <c r="B487" s="25"/>
      <c r="C487" s="25" t="s">
        <v>2249</v>
      </c>
      <c r="D487" s="25"/>
      <c r="E487" s="25"/>
    </row>
    <row r="488" spans="1:5" s="15" customFormat="1" ht="12.95" customHeight="1">
      <c r="A488" s="25" t="s">
        <v>2250</v>
      </c>
      <c r="B488" s="25"/>
      <c r="C488" s="25" t="s">
        <v>2251</v>
      </c>
      <c r="D488" s="25"/>
      <c r="E488" s="25"/>
    </row>
    <row r="489" spans="1:5" s="15" customFormat="1" ht="12.95" customHeight="1">
      <c r="A489" s="25" t="s">
        <v>2252</v>
      </c>
      <c r="B489" s="25"/>
      <c r="C489" s="25" t="s">
        <v>2253</v>
      </c>
      <c r="D489" s="25"/>
      <c r="E489" s="25"/>
    </row>
    <row r="490" spans="1:5" s="15" customFormat="1" ht="12.95" customHeight="1">
      <c r="A490" s="25" t="s">
        <v>2254</v>
      </c>
      <c r="B490" s="25"/>
      <c r="C490" s="25" t="s">
        <v>2255</v>
      </c>
      <c r="D490" s="25"/>
      <c r="E490" s="25"/>
    </row>
    <row r="491" spans="1:5" s="15" customFormat="1" ht="12.95" customHeight="1">
      <c r="A491" s="25" t="s">
        <v>2256</v>
      </c>
      <c r="B491" s="25"/>
      <c r="C491" s="25" t="s">
        <v>2257</v>
      </c>
      <c r="D491" s="25"/>
      <c r="E491" s="25"/>
    </row>
    <row r="492" spans="1:5" s="15" customFormat="1" ht="12.95" customHeight="1">
      <c r="A492" s="25" t="s">
        <v>2258</v>
      </c>
      <c r="B492" s="25"/>
      <c r="C492" s="25" t="s">
        <v>2259</v>
      </c>
      <c r="D492" s="25"/>
      <c r="E492" s="25"/>
    </row>
    <row r="493" spans="1:5" s="15" customFormat="1" ht="12.95" customHeight="1">
      <c r="A493" s="25" t="s">
        <v>2260</v>
      </c>
      <c r="B493" s="25"/>
      <c r="C493" s="25" t="s">
        <v>2261</v>
      </c>
      <c r="D493" s="25"/>
      <c r="E493" s="25"/>
    </row>
    <row r="494" spans="1:5" s="15" customFormat="1" ht="12.95" customHeight="1">
      <c r="A494" s="25" t="s">
        <v>2262</v>
      </c>
      <c r="B494" s="25"/>
      <c r="C494" s="25" t="s">
        <v>2263</v>
      </c>
      <c r="D494" s="25"/>
      <c r="E494" s="25"/>
    </row>
    <row r="495" spans="1:5" s="15" customFormat="1" ht="12.95" customHeight="1">
      <c r="A495" s="25" t="s">
        <v>2264</v>
      </c>
      <c r="B495" s="25"/>
      <c r="C495" s="25" t="s">
        <v>2265</v>
      </c>
      <c r="D495" s="25"/>
      <c r="E495" s="25"/>
    </row>
    <row r="496" spans="1:5" s="15" customFormat="1" ht="12.95" customHeight="1">
      <c r="A496" s="25" t="s">
        <v>2266</v>
      </c>
      <c r="B496" s="25"/>
      <c r="C496" s="25" t="s">
        <v>2267</v>
      </c>
      <c r="D496" s="25"/>
      <c r="E496" s="25"/>
    </row>
    <row r="497" spans="1:5" s="15" customFormat="1" ht="12.95" customHeight="1">
      <c r="A497" s="25" t="s">
        <v>2268</v>
      </c>
      <c r="B497" s="25"/>
      <c r="C497" s="25" t="s">
        <v>2269</v>
      </c>
      <c r="D497" s="25"/>
      <c r="E497" s="25"/>
    </row>
    <row r="498" spans="1:5" s="15" customFormat="1" ht="12.95" customHeight="1">
      <c r="A498" s="25" t="s">
        <v>2270</v>
      </c>
      <c r="B498" s="25"/>
      <c r="C498" s="25" t="s">
        <v>2271</v>
      </c>
      <c r="D498" s="25"/>
      <c r="E498" s="25"/>
    </row>
    <row r="499" spans="1:5" s="15" customFormat="1" ht="12.95" customHeight="1">
      <c r="A499" s="25" t="s">
        <v>2272</v>
      </c>
      <c r="B499" s="25"/>
      <c r="C499" s="25" t="s">
        <v>2273</v>
      </c>
      <c r="D499" s="25"/>
      <c r="E499" s="25"/>
    </row>
    <row r="500" spans="1:5" s="15" customFormat="1" ht="12.95" customHeight="1">
      <c r="A500" s="25" t="s">
        <v>2274</v>
      </c>
      <c r="B500" s="25"/>
      <c r="C500" s="25" t="s">
        <v>2275</v>
      </c>
      <c r="D500" s="25"/>
      <c r="E500" s="25"/>
    </row>
    <row r="501" spans="1:5" s="15" customFormat="1" ht="12.95" customHeight="1">
      <c r="A501" s="25" t="s">
        <v>2276</v>
      </c>
      <c r="B501" s="25"/>
      <c r="C501" s="25" t="s">
        <v>2277</v>
      </c>
      <c r="D501" s="25"/>
      <c r="E501" s="25"/>
    </row>
    <row r="502" spans="1:5" s="15" customFormat="1" ht="12.95" customHeight="1">
      <c r="A502" s="25" t="s">
        <v>2278</v>
      </c>
      <c r="B502" s="25"/>
      <c r="C502" s="25" t="s">
        <v>2279</v>
      </c>
      <c r="D502" s="25"/>
      <c r="E502" s="25"/>
    </row>
    <row r="503" spans="1:5" s="15" customFormat="1" ht="12.95" customHeight="1">
      <c r="A503" s="25" t="s">
        <v>2280</v>
      </c>
      <c r="B503" s="25"/>
      <c r="C503" s="25" t="s">
        <v>2275</v>
      </c>
      <c r="D503" s="25"/>
      <c r="E503" s="25"/>
    </row>
    <row r="504" spans="1:5" s="15" customFormat="1" ht="12.95" customHeight="1">
      <c r="A504" s="25" t="s">
        <v>2281</v>
      </c>
      <c r="B504" s="25"/>
      <c r="C504" s="25" t="s">
        <v>2277</v>
      </c>
      <c r="D504" s="25"/>
      <c r="E504" s="25"/>
    </row>
    <row r="505" spans="1:5" s="15" customFormat="1" ht="12.95" customHeight="1">
      <c r="A505" s="25" t="s">
        <v>2282</v>
      </c>
      <c r="B505" s="25"/>
      <c r="C505" s="25" t="s">
        <v>2279</v>
      </c>
      <c r="D505" s="25"/>
      <c r="E505" s="25"/>
    </row>
    <row r="506" spans="1:5" s="15" customFormat="1" ht="12.95" customHeight="1">
      <c r="A506" s="25" t="s">
        <v>2283</v>
      </c>
      <c r="B506" s="25"/>
      <c r="C506" s="25" t="s">
        <v>2273</v>
      </c>
      <c r="D506" s="25"/>
      <c r="E506" s="25"/>
    </row>
    <row r="507" spans="1:5" s="15" customFormat="1" ht="12.95" customHeight="1">
      <c r="A507" s="25" t="s">
        <v>2284</v>
      </c>
      <c r="B507" s="25"/>
      <c r="C507" s="25" t="s">
        <v>2285</v>
      </c>
      <c r="D507" s="25"/>
      <c r="E507" s="25"/>
    </row>
    <row r="508" spans="1:5" s="15" customFormat="1" ht="12.95" customHeight="1">
      <c r="A508" s="25" t="s">
        <v>2286</v>
      </c>
      <c r="B508" s="25"/>
      <c r="C508" s="25" t="s">
        <v>2287</v>
      </c>
      <c r="D508" s="25"/>
      <c r="E508" s="25"/>
    </row>
    <row r="509" spans="1:5" s="15" customFormat="1" ht="12.95" customHeight="1">
      <c r="A509" s="25" t="s">
        <v>2288</v>
      </c>
      <c r="B509" s="25"/>
      <c r="C509" s="25" t="s">
        <v>2289</v>
      </c>
      <c r="D509" s="25"/>
      <c r="E509" s="25"/>
    </row>
    <row r="510" spans="1:5" s="15" customFormat="1" ht="12.95" customHeight="1">
      <c r="A510" s="25" t="s">
        <v>2290</v>
      </c>
      <c r="B510" s="25"/>
      <c r="C510" s="25" t="s">
        <v>2291</v>
      </c>
      <c r="D510" s="25"/>
      <c r="E510" s="25"/>
    </row>
    <row r="511" spans="1:5" s="15" customFormat="1" ht="12.95" customHeight="1">
      <c r="A511" s="25" t="s">
        <v>2292</v>
      </c>
      <c r="B511" s="25"/>
      <c r="C511" s="25" t="s">
        <v>2293</v>
      </c>
      <c r="D511" s="25"/>
      <c r="E511" s="25"/>
    </row>
    <row r="512" spans="1:5" s="15" customFormat="1" ht="12.95" customHeight="1">
      <c r="A512" s="25" t="s">
        <v>2294</v>
      </c>
      <c r="B512" s="25"/>
      <c r="C512" s="25" t="s">
        <v>2295</v>
      </c>
      <c r="D512" s="25"/>
      <c r="E512" s="25"/>
    </row>
    <row r="513" spans="1:5" s="15" customFormat="1" ht="12.95" customHeight="1">
      <c r="A513" s="25" t="s">
        <v>2296</v>
      </c>
      <c r="B513" s="25"/>
      <c r="C513" s="25" t="s">
        <v>2297</v>
      </c>
      <c r="D513" s="25"/>
      <c r="E513" s="25"/>
    </row>
    <row r="514" spans="1:5" s="15" customFormat="1" ht="12.95" customHeight="1">
      <c r="A514" s="25" t="s">
        <v>2298</v>
      </c>
      <c r="B514" s="25"/>
      <c r="C514" s="25" t="s">
        <v>2299</v>
      </c>
      <c r="D514" s="25"/>
      <c r="E514" s="25"/>
    </row>
    <row r="515" spans="1:5" s="15" customFormat="1" ht="12.95" customHeight="1">
      <c r="A515" s="25" t="s">
        <v>2300</v>
      </c>
      <c r="B515" s="25"/>
      <c r="C515" s="25" t="s">
        <v>2301</v>
      </c>
      <c r="D515" s="25"/>
      <c r="E515" s="25"/>
    </row>
    <row r="516" spans="1:5" s="15" customFormat="1" ht="12.95" customHeight="1">
      <c r="A516" s="25" t="s">
        <v>2302</v>
      </c>
      <c r="B516" s="25"/>
      <c r="C516" s="25" t="s">
        <v>2303</v>
      </c>
      <c r="D516" s="25"/>
      <c r="E516" s="25"/>
    </row>
    <row r="517" spans="1:5" s="15" customFormat="1" ht="12.95" customHeight="1">
      <c r="A517" s="25" t="s">
        <v>2304</v>
      </c>
      <c r="B517" s="25"/>
      <c r="C517" s="25" t="s">
        <v>2305</v>
      </c>
      <c r="D517" s="25"/>
      <c r="E517" s="25"/>
    </row>
    <row r="518" spans="1:5" s="15" customFormat="1" ht="12.95" customHeight="1">
      <c r="A518" s="25" t="s">
        <v>2306</v>
      </c>
      <c r="B518" s="25"/>
      <c r="C518" s="25" t="s">
        <v>2307</v>
      </c>
      <c r="D518" s="25"/>
      <c r="E518" s="25"/>
    </row>
    <row r="519" spans="1:5" s="15" customFormat="1" ht="12.95" customHeight="1">
      <c r="A519" s="25" t="s">
        <v>2308</v>
      </c>
      <c r="B519" s="25"/>
      <c r="C519" s="25" t="s">
        <v>2309</v>
      </c>
      <c r="D519" s="25"/>
      <c r="E519" s="25"/>
    </row>
    <row r="520" spans="1:5" s="15" customFormat="1" ht="12.95" customHeight="1">
      <c r="A520" s="25" t="s">
        <v>2310</v>
      </c>
      <c r="B520" s="25"/>
      <c r="C520" s="25" t="s">
        <v>2311</v>
      </c>
      <c r="D520" s="25"/>
      <c r="E520" s="25"/>
    </row>
    <row r="521" spans="1:5" s="15" customFormat="1" ht="12.95" customHeight="1">
      <c r="A521" s="25" t="s">
        <v>2312</v>
      </c>
      <c r="B521" s="25"/>
      <c r="C521" s="25" t="s">
        <v>2313</v>
      </c>
      <c r="D521" s="25"/>
      <c r="E521" s="25"/>
    </row>
    <row r="522" spans="1:5" s="15" customFormat="1" ht="26.1" customHeight="1">
      <c r="A522" s="25" t="s">
        <v>2314</v>
      </c>
      <c r="B522" s="25"/>
      <c r="C522" s="25" t="s">
        <v>2315</v>
      </c>
      <c r="D522" s="25"/>
      <c r="E522" s="25"/>
    </row>
    <row r="523" spans="1:5" s="15" customFormat="1" ht="12.95" customHeight="1">
      <c r="A523" s="25" t="s">
        <v>2316</v>
      </c>
      <c r="B523" s="25"/>
      <c r="C523" s="25" t="s">
        <v>2317</v>
      </c>
      <c r="D523" s="25"/>
      <c r="E523" s="25"/>
    </row>
    <row r="524" spans="1:5" s="15" customFormat="1" ht="12.95" customHeight="1">
      <c r="A524" s="25" t="s">
        <v>2318</v>
      </c>
      <c r="B524" s="25"/>
      <c r="C524" s="25" t="s">
        <v>2319</v>
      </c>
      <c r="D524" s="25"/>
      <c r="E524" s="25"/>
    </row>
    <row r="525" spans="1:5" s="15" customFormat="1" ht="12.95" customHeight="1">
      <c r="A525" s="25" t="s">
        <v>2320</v>
      </c>
      <c r="B525" s="25"/>
      <c r="C525" s="25" t="s">
        <v>2321</v>
      </c>
      <c r="D525" s="25"/>
      <c r="E525" s="25"/>
    </row>
    <row r="526" spans="1:5" s="15" customFormat="1" ht="12.95" customHeight="1">
      <c r="A526" s="25" t="s">
        <v>2322</v>
      </c>
      <c r="B526" s="25"/>
      <c r="C526" s="25" t="s">
        <v>2323</v>
      </c>
      <c r="D526" s="25"/>
      <c r="E526" s="25"/>
    </row>
    <row r="527" spans="1:5" s="15" customFormat="1" ht="12.95" customHeight="1">
      <c r="A527" s="25" t="s">
        <v>2324</v>
      </c>
      <c r="B527" s="25"/>
      <c r="C527" s="25" t="s">
        <v>2325</v>
      </c>
      <c r="D527" s="25"/>
      <c r="E527" s="25"/>
    </row>
    <row r="528" spans="1:5" s="15" customFormat="1" ht="12.95" customHeight="1">
      <c r="A528" s="25" t="s">
        <v>2326</v>
      </c>
      <c r="B528" s="25"/>
      <c r="C528" s="25" t="s">
        <v>2327</v>
      </c>
      <c r="D528" s="25"/>
      <c r="E528" s="25"/>
    </row>
    <row r="529" spans="1:5" s="15" customFormat="1" ht="12.95" customHeight="1">
      <c r="A529" s="25" t="s">
        <v>2328</v>
      </c>
      <c r="B529" s="25"/>
      <c r="C529" s="25" t="s">
        <v>2325</v>
      </c>
      <c r="D529" s="25"/>
      <c r="E529" s="25"/>
    </row>
    <row r="530" spans="1:5" s="15" customFormat="1" ht="12.95" customHeight="1">
      <c r="A530" s="25" t="s">
        <v>2329</v>
      </c>
      <c r="B530" s="25"/>
      <c r="C530" s="25" t="s">
        <v>2330</v>
      </c>
      <c r="D530" s="25"/>
      <c r="E530" s="25"/>
    </row>
    <row r="531" spans="1:5" s="15" customFormat="1" ht="12.95" customHeight="1">
      <c r="A531" s="25" t="s">
        <v>2331</v>
      </c>
      <c r="B531" s="25"/>
      <c r="C531" s="25" t="s">
        <v>2332</v>
      </c>
      <c r="D531" s="25"/>
      <c r="E531" s="25"/>
    </row>
    <row r="532" spans="1:5" s="15" customFormat="1" ht="12.95" customHeight="1">
      <c r="A532" s="25" t="s">
        <v>2333</v>
      </c>
      <c r="B532" s="25"/>
      <c r="C532" s="25" t="s">
        <v>2334</v>
      </c>
      <c r="D532" s="25"/>
      <c r="E532" s="25"/>
    </row>
    <row r="533" spans="1:5" s="15" customFormat="1" ht="12.95" customHeight="1">
      <c r="A533" s="25" t="s">
        <v>2335</v>
      </c>
      <c r="B533" s="25"/>
      <c r="C533" s="25" t="s">
        <v>2336</v>
      </c>
      <c r="D533" s="25"/>
      <c r="E533" s="25"/>
    </row>
    <row r="534" spans="1:5" s="15" customFormat="1" ht="12.95" customHeight="1">
      <c r="A534" s="25" t="s">
        <v>2337</v>
      </c>
      <c r="B534" s="25"/>
      <c r="C534" s="25" t="s">
        <v>2338</v>
      </c>
      <c r="D534" s="25"/>
      <c r="E534" s="25"/>
    </row>
    <row r="535" spans="1:5" s="15" customFormat="1" ht="12.95" customHeight="1">
      <c r="A535" s="25" t="s">
        <v>2339</v>
      </c>
      <c r="B535" s="25"/>
      <c r="C535" s="25" t="s">
        <v>2340</v>
      </c>
      <c r="D535" s="25"/>
      <c r="E535" s="25"/>
    </row>
    <row r="536" spans="1:5" s="15" customFormat="1" ht="12.95" customHeight="1">
      <c r="A536" s="25" t="s">
        <v>2341</v>
      </c>
      <c r="B536" s="25"/>
      <c r="C536" s="25" t="s">
        <v>2342</v>
      </c>
      <c r="D536" s="25"/>
      <c r="E536" s="25"/>
    </row>
    <row r="537" spans="1:5" s="15" customFormat="1" ht="12.95" customHeight="1">
      <c r="A537" s="25" t="s">
        <v>2343</v>
      </c>
      <c r="B537" s="25"/>
      <c r="C537" s="25" t="s">
        <v>2344</v>
      </c>
      <c r="D537" s="25"/>
      <c r="E537" s="25"/>
    </row>
    <row r="538" spans="1:5" s="15" customFormat="1" ht="12.95" customHeight="1">
      <c r="A538" s="25" t="s">
        <v>2345</v>
      </c>
      <c r="B538" s="25"/>
      <c r="C538" s="25" t="s">
        <v>2346</v>
      </c>
      <c r="D538" s="25"/>
      <c r="E538" s="25"/>
    </row>
    <row r="539" spans="1:5" s="15" customFormat="1" ht="12.95" customHeight="1">
      <c r="A539" s="25" t="s">
        <v>2347</v>
      </c>
      <c r="B539" s="25"/>
      <c r="C539" s="25" t="s">
        <v>2348</v>
      </c>
      <c r="D539" s="25"/>
      <c r="E539" s="25"/>
    </row>
    <row r="540" spans="1:5" s="15" customFormat="1" ht="12.95" customHeight="1">
      <c r="A540" s="25" t="s">
        <v>2349</v>
      </c>
      <c r="B540" s="25"/>
      <c r="C540" s="25" t="s">
        <v>2350</v>
      </c>
      <c r="D540" s="25"/>
      <c r="E540" s="25"/>
    </row>
    <row r="541" spans="1:5" s="15" customFormat="1" ht="12.95" customHeight="1">
      <c r="A541" s="25" t="s">
        <v>2351</v>
      </c>
      <c r="B541" s="25"/>
      <c r="C541" s="25" t="s">
        <v>2352</v>
      </c>
      <c r="D541" s="25"/>
      <c r="E541" s="25"/>
    </row>
    <row r="542" spans="1:5" s="15" customFormat="1" ht="12.95" customHeight="1">
      <c r="A542" s="25" t="s">
        <v>2353</v>
      </c>
      <c r="B542" s="25"/>
      <c r="C542" s="25" t="s">
        <v>2354</v>
      </c>
      <c r="D542" s="25"/>
      <c r="E542" s="25"/>
    </row>
    <row r="543" spans="1:5" s="15" customFormat="1" ht="12.95" customHeight="1">
      <c r="A543" s="25" t="s">
        <v>2355</v>
      </c>
      <c r="B543" s="25"/>
      <c r="C543" s="25" t="s">
        <v>2356</v>
      </c>
      <c r="D543" s="25"/>
      <c r="E543" s="25"/>
    </row>
    <row r="544" spans="1:5" s="15" customFormat="1" ht="12.95" customHeight="1">
      <c r="A544" s="25" t="s">
        <v>2357</v>
      </c>
      <c r="B544" s="25"/>
      <c r="C544" s="25" t="s">
        <v>2358</v>
      </c>
      <c r="D544" s="25"/>
      <c r="E544" s="25"/>
    </row>
    <row r="545" spans="1:5" s="15" customFormat="1" ht="12.95" customHeight="1">
      <c r="A545" s="25" t="s">
        <v>2359</v>
      </c>
      <c r="B545" s="25"/>
      <c r="C545" s="25" t="s">
        <v>2360</v>
      </c>
      <c r="D545" s="25"/>
      <c r="E545" s="25"/>
    </row>
    <row r="546" spans="1:5" s="15" customFormat="1" ht="12.95" customHeight="1">
      <c r="A546" s="25" t="s">
        <v>2361</v>
      </c>
      <c r="B546" s="25"/>
      <c r="C546" s="25" t="s">
        <v>2362</v>
      </c>
      <c r="D546" s="25"/>
      <c r="E546" s="25"/>
    </row>
    <row r="547" spans="1:5" s="15" customFormat="1" ht="12.95" customHeight="1">
      <c r="A547" s="25" t="s">
        <v>2363</v>
      </c>
      <c r="B547" s="25"/>
      <c r="C547" s="25" t="s">
        <v>2364</v>
      </c>
      <c r="D547" s="25"/>
      <c r="E547" s="25"/>
    </row>
    <row r="548" spans="1:5" s="15" customFormat="1" ht="12.95" customHeight="1">
      <c r="A548" s="25" t="s">
        <v>2365</v>
      </c>
      <c r="B548" s="25"/>
      <c r="C548" s="25" t="s">
        <v>2366</v>
      </c>
      <c r="D548" s="25"/>
      <c r="E548" s="25"/>
    </row>
    <row r="549" spans="1:5" s="15" customFormat="1" ht="12.95" customHeight="1">
      <c r="A549" s="25" t="s">
        <v>2367</v>
      </c>
      <c r="B549" s="25"/>
      <c r="C549" s="25" t="s">
        <v>2368</v>
      </c>
      <c r="D549" s="25"/>
      <c r="E549" s="25"/>
    </row>
    <row r="550" spans="1:5" s="15" customFormat="1" ht="12.95" customHeight="1">
      <c r="A550" s="25" t="s">
        <v>2369</v>
      </c>
      <c r="B550" s="25"/>
      <c r="C550" s="25" t="s">
        <v>2370</v>
      </c>
      <c r="D550" s="25"/>
      <c r="E550" s="25"/>
    </row>
    <row r="551" spans="1:5" s="15" customFormat="1" ht="12.95" customHeight="1">
      <c r="A551" s="25" t="s">
        <v>2371</v>
      </c>
      <c r="B551" s="25"/>
      <c r="C551" s="25" t="s">
        <v>2372</v>
      </c>
      <c r="D551" s="25"/>
      <c r="E551" s="25"/>
    </row>
    <row r="552" spans="1:5" s="15" customFormat="1" ht="12.95" customHeight="1">
      <c r="A552" s="25" t="s">
        <v>2373</v>
      </c>
      <c r="B552" s="25"/>
      <c r="C552" s="25" t="s">
        <v>2374</v>
      </c>
      <c r="D552" s="25"/>
      <c r="E552" s="25"/>
    </row>
    <row r="553" spans="1:5" s="15" customFormat="1" ht="12.95" customHeight="1">
      <c r="A553" s="25" t="s">
        <v>2375</v>
      </c>
      <c r="B553" s="25"/>
      <c r="C553" s="25" t="s">
        <v>2376</v>
      </c>
      <c r="D553" s="25"/>
      <c r="E553" s="25"/>
    </row>
    <row r="554" spans="1:5" s="15" customFormat="1" ht="12.95" customHeight="1">
      <c r="A554" s="25" t="s">
        <v>2377</v>
      </c>
      <c r="B554" s="25"/>
      <c r="C554" s="25" t="s">
        <v>2378</v>
      </c>
      <c r="D554" s="25"/>
      <c r="E554" s="25"/>
    </row>
    <row r="555" spans="1:5" s="15" customFormat="1" ht="12.95" customHeight="1">
      <c r="A555" s="25" t="s">
        <v>2379</v>
      </c>
      <c r="B555" s="25"/>
      <c r="C555" s="25" t="s">
        <v>2380</v>
      </c>
      <c r="D555" s="25"/>
      <c r="E555" s="25"/>
    </row>
    <row r="556" spans="1:5" s="15" customFormat="1" ht="12.95" customHeight="1">
      <c r="A556" s="25" t="s">
        <v>2381</v>
      </c>
      <c r="B556" s="25"/>
      <c r="C556" s="25" t="s">
        <v>2382</v>
      </c>
      <c r="D556" s="25"/>
      <c r="E556" s="25"/>
    </row>
    <row r="557" spans="1:5" s="15" customFormat="1" ht="12.95" customHeight="1">
      <c r="A557" s="25" t="s">
        <v>2383</v>
      </c>
      <c r="B557" s="25"/>
      <c r="C557" s="25" t="s">
        <v>2384</v>
      </c>
      <c r="D557" s="25"/>
      <c r="E557" s="25"/>
    </row>
    <row r="558" spans="1:5" s="15" customFormat="1" ht="12.95" customHeight="1">
      <c r="A558" s="25" t="s">
        <v>2385</v>
      </c>
      <c r="B558" s="25"/>
      <c r="C558" s="25" t="s">
        <v>2372</v>
      </c>
      <c r="D558" s="25"/>
      <c r="E558" s="25"/>
    </row>
    <row r="559" spans="1:5" s="15" customFormat="1" ht="12.95" customHeight="1">
      <c r="A559" s="25" t="s">
        <v>2386</v>
      </c>
      <c r="B559" s="25"/>
      <c r="C559" s="25" t="s">
        <v>2376</v>
      </c>
      <c r="D559" s="25"/>
      <c r="E559" s="25"/>
    </row>
    <row r="560" spans="1:5" s="15" customFormat="1" ht="12.95" customHeight="1">
      <c r="A560" s="25" t="s">
        <v>2387</v>
      </c>
      <c r="B560" s="25"/>
      <c r="C560" s="25" t="s">
        <v>2378</v>
      </c>
      <c r="D560" s="25"/>
      <c r="E560" s="25"/>
    </row>
    <row r="561" spans="1:5" s="15" customFormat="1" ht="12.95" customHeight="1">
      <c r="A561" s="25" t="s">
        <v>2388</v>
      </c>
      <c r="B561" s="25"/>
      <c r="C561" s="25" t="s">
        <v>2389</v>
      </c>
      <c r="D561" s="25"/>
      <c r="E561" s="25"/>
    </row>
    <row r="562" spans="1:5" s="15" customFormat="1" ht="12.95" customHeight="1">
      <c r="A562" s="25" t="s">
        <v>2390</v>
      </c>
      <c r="B562" s="25"/>
      <c r="C562" s="25" t="s">
        <v>2391</v>
      </c>
      <c r="D562" s="25"/>
      <c r="E562" s="25"/>
    </row>
    <row r="563" spans="1:5" s="15" customFormat="1" ht="12.95" customHeight="1">
      <c r="A563" s="25" t="s">
        <v>2392</v>
      </c>
      <c r="B563" s="25"/>
      <c r="C563" s="25" t="s">
        <v>2393</v>
      </c>
      <c r="D563" s="25"/>
      <c r="E563" s="25"/>
    </row>
    <row r="564" spans="1:5" s="15" customFormat="1" ht="12.95" customHeight="1">
      <c r="A564" s="25" t="s">
        <v>2394</v>
      </c>
      <c r="B564" s="25"/>
      <c r="C564" s="25" t="s">
        <v>2395</v>
      </c>
      <c r="D564" s="25"/>
      <c r="E564" s="25"/>
    </row>
    <row r="565" spans="1:5" s="15" customFormat="1" ht="12.95" customHeight="1">
      <c r="A565" s="25" t="s">
        <v>2396</v>
      </c>
      <c r="B565" s="25"/>
      <c r="C565" s="25" t="s">
        <v>2397</v>
      </c>
      <c r="D565" s="25"/>
      <c r="E565" s="25"/>
    </row>
    <row r="566" spans="1:5" s="15" customFormat="1" ht="12.95" customHeight="1">
      <c r="A566" s="25" t="s">
        <v>2398</v>
      </c>
      <c r="B566" s="25"/>
      <c r="C566" s="25" t="s">
        <v>2399</v>
      </c>
      <c r="D566" s="25"/>
      <c r="E566" s="25"/>
    </row>
    <row r="567" spans="1:5" s="15" customFormat="1" ht="12.95" customHeight="1">
      <c r="A567" s="25" t="s">
        <v>2400</v>
      </c>
      <c r="B567" s="25"/>
      <c r="C567" s="25" t="s">
        <v>2401</v>
      </c>
      <c r="D567" s="25"/>
      <c r="E567" s="25"/>
    </row>
    <row r="568" spans="1:5" s="15" customFormat="1" ht="12.95" customHeight="1">
      <c r="A568" s="25" t="s">
        <v>2402</v>
      </c>
      <c r="B568" s="25"/>
      <c r="C568" s="25" t="s">
        <v>2403</v>
      </c>
      <c r="D568" s="25"/>
      <c r="E568" s="25"/>
    </row>
    <row r="569" spans="1:5" s="15" customFormat="1" ht="12.95" customHeight="1">
      <c r="A569" s="25" t="s">
        <v>2404</v>
      </c>
      <c r="B569" s="25"/>
      <c r="C569" s="25" t="s">
        <v>2405</v>
      </c>
      <c r="D569" s="25"/>
      <c r="E569" s="25"/>
    </row>
    <row r="570" spans="1:5" s="15" customFormat="1" ht="12.95" customHeight="1">
      <c r="A570" s="25" t="s">
        <v>2406</v>
      </c>
      <c r="B570" s="25"/>
      <c r="C570" s="25" t="s">
        <v>2407</v>
      </c>
      <c r="D570" s="25"/>
      <c r="E570" s="25"/>
    </row>
    <row r="571" spans="1:5" s="15" customFormat="1" ht="12.95" customHeight="1">
      <c r="A571" s="25" t="s">
        <v>2408</v>
      </c>
      <c r="B571" s="25"/>
      <c r="C571" s="25" t="s">
        <v>2401</v>
      </c>
      <c r="D571" s="25"/>
      <c r="E571" s="25"/>
    </row>
    <row r="572" spans="1:5" s="15" customFormat="1" ht="12.95" customHeight="1">
      <c r="A572" s="25" t="s">
        <v>2409</v>
      </c>
      <c r="B572" s="25"/>
      <c r="C572" s="25" t="s">
        <v>2403</v>
      </c>
      <c r="D572" s="25"/>
      <c r="E572" s="25"/>
    </row>
    <row r="573" spans="1:5" s="15" customFormat="1" ht="12.95" customHeight="1">
      <c r="A573" s="25" t="s">
        <v>2410</v>
      </c>
      <c r="B573" s="25"/>
      <c r="C573" s="25" t="s">
        <v>2407</v>
      </c>
      <c r="D573" s="25"/>
      <c r="E573" s="25"/>
    </row>
    <row r="574" spans="1:5" s="15" customFormat="1" ht="12.95" customHeight="1">
      <c r="A574" s="25" t="s">
        <v>2411</v>
      </c>
      <c r="B574" s="25"/>
      <c r="C574" s="25" t="s">
        <v>2412</v>
      </c>
      <c r="D574" s="25"/>
      <c r="E574" s="25"/>
    </row>
    <row r="575" spans="1:5" s="15" customFormat="1" ht="12.95" customHeight="1">
      <c r="A575" s="25" t="s">
        <v>2413</v>
      </c>
      <c r="B575" s="25"/>
      <c r="C575" s="25" t="s">
        <v>2414</v>
      </c>
      <c r="D575" s="25"/>
      <c r="E575" s="25"/>
    </row>
    <row r="576" spans="1:5" s="15" customFormat="1" ht="12.95" customHeight="1">
      <c r="A576" s="25" t="s">
        <v>2415</v>
      </c>
      <c r="B576" s="25"/>
      <c r="C576" s="25" t="s">
        <v>2416</v>
      </c>
      <c r="D576" s="25"/>
      <c r="E576" s="25"/>
    </row>
    <row r="577" spans="1:5" s="15" customFormat="1" ht="12.95" customHeight="1">
      <c r="A577" s="25" t="s">
        <v>2417</v>
      </c>
      <c r="B577" s="25"/>
      <c r="C577" s="25" t="s">
        <v>2418</v>
      </c>
      <c r="D577" s="25"/>
      <c r="E577" s="25"/>
    </row>
    <row r="578" spans="1:5" s="15" customFormat="1" ht="12.95" customHeight="1">
      <c r="A578" s="25" t="s">
        <v>2419</v>
      </c>
      <c r="B578" s="25"/>
      <c r="C578" s="25" t="s">
        <v>2420</v>
      </c>
      <c r="D578" s="25"/>
      <c r="E578" s="25"/>
    </row>
    <row r="579" spans="1:5" s="15" customFormat="1" ht="12.95" customHeight="1">
      <c r="A579" s="25" t="s">
        <v>2421</v>
      </c>
      <c r="B579" s="25"/>
      <c r="C579" s="25" t="s">
        <v>2422</v>
      </c>
      <c r="D579" s="25"/>
      <c r="E579" s="25"/>
    </row>
    <row r="580" spans="1:5" s="15" customFormat="1" ht="12.95" customHeight="1">
      <c r="A580" s="25" t="s">
        <v>2423</v>
      </c>
      <c r="B580" s="25"/>
      <c r="C580" s="25" t="s">
        <v>2424</v>
      </c>
      <c r="D580" s="25"/>
      <c r="E580" s="25"/>
    </row>
    <row r="581" spans="1:5" s="15" customFormat="1" ht="12.95" customHeight="1">
      <c r="A581" s="25" t="s">
        <v>2425</v>
      </c>
      <c r="B581" s="25"/>
      <c r="C581" s="25" t="s">
        <v>2426</v>
      </c>
      <c r="D581" s="25"/>
      <c r="E581" s="25"/>
    </row>
    <row r="582" spans="1:5" s="15" customFormat="1" ht="12.95" customHeight="1">
      <c r="A582" s="25" t="s">
        <v>2427</v>
      </c>
      <c r="B582" s="25"/>
      <c r="C582" s="25" t="s">
        <v>2428</v>
      </c>
      <c r="D582" s="25"/>
      <c r="E582" s="25"/>
    </row>
    <row r="583" spans="1:5" s="15" customFormat="1" ht="12.95" customHeight="1">
      <c r="A583" s="25" t="s">
        <v>2429</v>
      </c>
      <c r="B583" s="25"/>
      <c r="C583" s="25" t="s">
        <v>2430</v>
      </c>
      <c r="D583" s="25"/>
      <c r="E583" s="25"/>
    </row>
    <row r="584" spans="1:5" s="15" customFormat="1" ht="12.95" customHeight="1">
      <c r="A584" s="25" t="s">
        <v>2431</v>
      </c>
      <c r="B584" s="25"/>
      <c r="C584" s="25" t="s">
        <v>2432</v>
      </c>
      <c r="D584" s="25"/>
      <c r="E584" s="25"/>
    </row>
    <row r="585" spans="1:5" s="15" customFormat="1" ht="12.95" customHeight="1">
      <c r="A585" s="25" t="s">
        <v>2433</v>
      </c>
      <c r="B585" s="25"/>
      <c r="C585" s="25" t="s">
        <v>2434</v>
      </c>
      <c r="D585" s="25"/>
      <c r="E585" s="25"/>
    </row>
    <row r="586" spans="1:5" s="15" customFormat="1" ht="12.95" customHeight="1">
      <c r="A586" s="25" t="s">
        <v>2435</v>
      </c>
      <c r="B586" s="25"/>
      <c r="C586" s="25" t="s">
        <v>2436</v>
      </c>
      <c r="D586" s="25"/>
      <c r="E586" s="25"/>
    </row>
    <row r="587" spans="1:5" s="15" customFormat="1" ht="12.95" customHeight="1">
      <c r="A587" s="25" t="s">
        <v>2437</v>
      </c>
      <c r="B587" s="25"/>
      <c r="C587" s="25" t="s">
        <v>2438</v>
      </c>
      <c r="D587" s="25"/>
      <c r="E587" s="25"/>
    </row>
    <row r="588" spans="1:5" s="15" customFormat="1" ht="12.95" customHeight="1">
      <c r="A588" s="25" t="s">
        <v>2439</v>
      </c>
      <c r="B588" s="25"/>
      <c r="C588" s="25" t="s">
        <v>2440</v>
      </c>
      <c r="D588" s="25"/>
      <c r="E588" s="25"/>
    </row>
    <row r="589" spans="1:5" s="15" customFormat="1" ht="12.95" customHeight="1">
      <c r="A589" s="25" t="s">
        <v>2441</v>
      </c>
      <c r="B589" s="25"/>
      <c r="C589" s="25" t="s">
        <v>2442</v>
      </c>
      <c r="D589" s="25"/>
      <c r="E589" s="25"/>
    </row>
    <row r="590" spans="1:5" s="15" customFormat="1" ht="12.95" customHeight="1">
      <c r="A590" s="25" t="s">
        <v>2443</v>
      </c>
      <c r="B590" s="25"/>
      <c r="C590" s="25" t="s">
        <v>2444</v>
      </c>
      <c r="D590" s="25"/>
      <c r="E590" s="25"/>
    </row>
    <row r="591" spans="1:5" s="15" customFormat="1" ht="12.95" customHeight="1">
      <c r="A591" s="25" t="s">
        <v>2445</v>
      </c>
      <c r="B591" s="25"/>
      <c r="C591" s="25" t="s">
        <v>2444</v>
      </c>
      <c r="D591" s="25"/>
      <c r="E591" s="25"/>
    </row>
    <row r="592" spans="1:5" s="15" customFormat="1" ht="12.95" customHeight="1">
      <c r="A592" s="25" t="s">
        <v>2446</v>
      </c>
      <c r="B592" s="25"/>
      <c r="C592" s="25" t="s">
        <v>2447</v>
      </c>
      <c r="D592" s="25"/>
      <c r="E592" s="25"/>
    </row>
    <row r="593" spans="1:5" s="15" customFormat="1" ht="12.95" customHeight="1">
      <c r="A593" s="25" t="s">
        <v>2448</v>
      </c>
      <c r="B593" s="25"/>
      <c r="C593" s="25" t="s">
        <v>2449</v>
      </c>
      <c r="D593" s="25"/>
      <c r="E593" s="25"/>
    </row>
    <row r="594" spans="1:5" s="15" customFormat="1" ht="12.95" customHeight="1">
      <c r="A594" s="25" t="s">
        <v>2450</v>
      </c>
      <c r="B594" s="25"/>
      <c r="C594" s="25" t="s">
        <v>2451</v>
      </c>
      <c r="D594" s="25"/>
      <c r="E594" s="25"/>
    </row>
    <row r="595" spans="1:5" s="15" customFormat="1" ht="12.95" customHeight="1">
      <c r="A595" s="25" t="s">
        <v>2452</v>
      </c>
      <c r="B595" s="25"/>
      <c r="C595" s="25" t="s">
        <v>2453</v>
      </c>
      <c r="D595" s="25"/>
      <c r="E595" s="25"/>
    </row>
    <row r="596" spans="1:5" s="15" customFormat="1" ht="12.95" customHeight="1">
      <c r="A596" s="25" t="s">
        <v>2454</v>
      </c>
      <c r="B596" s="25"/>
      <c r="C596" s="25" t="s">
        <v>2455</v>
      </c>
      <c r="D596" s="25"/>
      <c r="E596" s="25"/>
    </row>
    <row r="597" spans="1:5" s="15" customFormat="1" ht="12.95" customHeight="1">
      <c r="A597" s="25" t="s">
        <v>2456</v>
      </c>
      <c r="B597" s="25"/>
      <c r="C597" s="25" t="s">
        <v>2457</v>
      </c>
      <c r="D597" s="25"/>
      <c r="E597" s="25"/>
    </row>
    <row r="598" spans="1:5" s="15" customFormat="1" ht="12.95" customHeight="1">
      <c r="A598" s="25" t="s">
        <v>2458</v>
      </c>
      <c r="B598" s="25"/>
      <c r="C598" s="25" t="s">
        <v>2459</v>
      </c>
      <c r="D598" s="25"/>
      <c r="E598" s="25"/>
    </row>
    <row r="599" spans="1:5" s="15" customFormat="1" ht="12.95" customHeight="1">
      <c r="A599" s="25" t="s">
        <v>2460</v>
      </c>
      <c r="B599" s="25"/>
      <c r="C599" s="25" t="s">
        <v>2461</v>
      </c>
      <c r="D599" s="25"/>
      <c r="E599" s="25"/>
    </row>
    <row r="600" spans="1:5" s="15" customFormat="1" ht="12.95" customHeight="1">
      <c r="A600" s="25" t="s">
        <v>2462</v>
      </c>
      <c r="B600" s="25"/>
      <c r="C600" s="25" t="s">
        <v>2463</v>
      </c>
      <c r="D600" s="25"/>
      <c r="E600" s="25"/>
    </row>
    <row r="601" spans="1:5" s="15" customFormat="1" ht="12.95" customHeight="1">
      <c r="A601" s="25" t="s">
        <v>2464</v>
      </c>
      <c r="B601" s="25"/>
      <c r="C601" s="25" t="s">
        <v>2465</v>
      </c>
      <c r="D601" s="25"/>
      <c r="E601" s="25"/>
    </row>
    <row r="602" spans="1:5" s="15" customFormat="1" ht="12.95" customHeight="1">
      <c r="A602" s="25" t="s">
        <v>2466</v>
      </c>
      <c r="B602" s="25"/>
      <c r="C602" s="25" t="s">
        <v>2467</v>
      </c>
      <c r="D602" s="25"/>
      <c r="E602" s="25"/>
    </row>
    <row r="603" spans="1:5" s="15" customFormat="1" ht="12.95" customHeight="1">
      <c r="A603" s="25" t="s">
        <v>2468</v>
      </c>
      <c r="B603" s="25"/>
      <c r="C603" s="25" t="s">
        <v>2469</v>
      </c>
      <c r="D603" s="25"/>
      <c r="E603" s="25"/>
    </row>
    <row r="604" spans="1:5" s="15" customFormat="1" ht="12.95" customHeight="1">
      <c r="A604" s="25" t="s">
        <v>2470</v>
      </c>
      <c r="B604" s="25"/>
      <c r="C604" s="25" t="s">
        <v>2471</v>
      </c>
      <c r="D604" s="25"/>
      <c r="E604" s="25"/>
    </row>
    <row r="605" spans="1:5" s="15" customFormat="1" ht="12.95" customHeight="1">
      <c r="A605" s="25" t="s">
        <v>2472</v>
      </c>
      <c r="B605" s="25"/>
      <c r="C605" s="25" t="s">
        <v>2473</v>
      </c>
      <c r="D605" s="25"/>
      <c r="E605" s="25"/>
    </row>
    <row r="606" spans="1:5" s="15" customFormat="1" ht="12.95" customHeight="1">
      <c r="A606" s="25" t="s">
        <v>2474</v>
      </c>
      <c r="B606" s="25"/>
      <c r="C606" s="25" t="s">
        <v>2475</v>
      </c>
      <c r="D606" s="25"/>
      <c r="E606" s="25"/>
    </row>
    <row r="607" spans="1:5" s="15" customFormat="1" ht="12.95" customHeight="1">
      <c r="A607" s="25" t="s">
        <v>2476</v>
      </c>
      <c r="B607" s="25"/>
      <c r="C607" s="25" t="s">
        <v>2477</v>
      </c>
      <c r="D607" s="25"/>
      <c r="E607" s="25"/>
    </row>
    <row r="608" spans="1:5" s="15" customFormat="1" ht="12.95" customHeight="1">
      <c r="A608" s="25" t="s">
        <v>2478</v>
      </c>
      <c r="B608" s="25"/>
      <c r="C608" s="25" t="s">
        <v>2479</v>
      </c>
      <c r="D608" s="25"/>
      <c r="E608" s="25"/>
    </row>
    <row r="609" spans="1:5" s="15" customFormat="1" ht="12.95" customHeight="1">
      <c r="A609" s="25" t="s">
        <v>2480</v>
      </c>
      <c r="B609" s="25"/>
      <c r="C609" s="25" t="s">
        <v>2481</v>
      </c>
      <c r="D609" s="25"/>
      <c r="E609" s="25"/>
    </row>
    <row r="610" spans="1:5" s="15" customFormat="1" ht="12.95" customHeight="1">
      <c r="A610" s="25" t="s">
        <v>2482</v>
      </c>
      <c r="B610" s="25"/>
      <c r="C610" s="25" t="s">
        <v>2483</v>
      </c>
      <c r="D610" s="25"/>
      <c r="E610" s="25"/>
    </row>
    <row r="611" spans="1:5" s="15" customFormat="1" ht="12.95" customHeight="1">
      <c r="A611" s="25" t="s">
        <v>2484</v>
      </c>
      <c r="B611" s="25"/>
      <c r="C611" s="25" t="s">
        <v>2485</v>
      </c>
      <c r="D611" s="25"/>
      <c r="E611" s="25"/>
    </row>
    <row r="612" spans="1:5" s="15" customFormat="1" ht="12.95" customHeight="1">
      <c r="A612" s="25" t="s">
        <v>2486</v>
      </c>
      <c r="B612" s="25"/>
      <c r="C612" s="25" t="s">
        <v>2487</v>
      </c>
      <c r="D612" s="25"/>
      <c r="E612" s="25"/>
    </row>
    <row r="613" spans="1:5" s="15" customFormat="1" ht="12.95" customHeight="1">
      <c r="A613" s="25" t="s">
        <v>2488</v>
      </c>
      <c r="B613" s="25"/>
      <c r="C613" s="25" t="s">
        <v>2467</v>
      </c>
      <c r="D613" s="25"/>
      <c r="E613" s="25"/>
    </row>
    <row r="614" spans="1:5" s="15" customFormat="1" ht="12.95" customHeight="1">
      <c r="A614" s="25" t="s">
        <v>2489</v>
      </c>
      <c r="B614" s="25"/>
      <c r="C614" s="25" t="s">
        <v>2490</v>
      </c>
      <c r="D614" s="25"/>
      <c r="E614" s="25"/>
    </row>
    <row r="615" spans="1:5" s="15" customFormat="1" ht="12.95" customHeight="1">
      <c r="A615" s="25" t="s">
        <v>2491</v>
      </c>
      <c r="B615" s="25"/>
      <c r="C615" s="25" t="s">
        <v>2492</v>
      </c>
      <c r="D615" s="25"/>
      <c r="E615" s="25"/>
    </row>
    <row r="616" spans="1:5" s="15" customFormat="1" ht="12.95" customHeight="1">
      <c r="A616" s="25" t="s">
        <v>2493</v>
      </c>
      <c r="B616" s="25"/>
      <c r="C616" s="25" t="s">
        <v>2494</v>
      </c>
      <c r="D616" s="25"/>
      <c r="E616" s="25"/>
    </row>
    <row r="617" spans="1:5" s="15" customFormat="1" ht="12.95" customHeight="1">
      <c r="A617" s="25" t="s">
        <v>2495</v>
      </c>
      <c r="B617" s="25"/>
      <c r="C617" s="25" t="s">
        <v>2475</v>
      </c>
      <c r="D617" s="25"/>
      <c r="E617" s="25"/>
    </row>
    <row r="618" spans="1:5" s="15" customFormat="1" ht="12.95" customHeight="1">
      <c r="A618" s="25" t="s">
        <v>2496</v>
      </c>
      <c r="B618" s="25"/>
      <c r="C618" s="25" t="s">
        <v>2497</v>
      </c>
      <c r="D618" s="25"/>
      <c r="E618" s="25"/>
    </row>
    <row r="619" spans="1:5" s="15" customFormat="1" ht="12.95" customHeight="1">
      <c r="A619" s="25" t="s">
        <v>2498</v>
      </c>
      <c r="B619" s="25"/>
      <c r="C619" s="25" t="s">
        <v>2497</v>
      </c>
      <c r="D619" s="25"/>
      <c r="E619" s="25"/>
    </row>
    <row r="620" spans="1:5" s="15" customFormat="1" ht="12.95" customHeight="1">
      <c r="A620" s="25" t="s">
        <v>2499</v>
      </c>
      <c r="B620" s="25"/>
      <c r="C620" s="25" t="s">
        <v>2500</v>
      </c>
      <c r="D620" s="25"/>
      <c r="E620" s="25"/>
    </row>
    <row r="621" spans="1:5" s="15" customFormat="1" ht="12.95" customHeight="1">
      <c r="A621" s="25" t="s">
        <v>2501</v>
      </c>
      <c r="B621" s="25"/>
      <c r="C621" s="25" t="s">
        <v>2502</v>
      </c>
      <c r="D621" s="25"/>
      <c r="E621" s="25"/>
    </row>
    <row r="622" spans="1:5" s="15" customFormat="1" ht="12.95" customHeight="1">
      <c r="A622" s="25" t="s">
        <v>2503</v>
      </c>
      <c r="B622" s="25"/>
      <c r="C622" s="25" t="s">
        <v>2504</v>
      </c>
      <c r="D622" s="25"/>
      <c r="E622" s="25"/>
    </row>
    <row r="623" spans="1:5" s="15" customFormat="1" ht="12.95" customHeight="1">
      <c r="A623" s="25" t="s">
        <v>2505</v>
      </c>
      <c r="B623" s="25"/>
      <c r="C623" s="25" t="s">
        <v>405</v>
      </c>
      <c r="D623" s="25"/>
      <c r="E623" s="25"/>
    </row>
    <row r="624" spans="1:5" s="15" customFormat="1" ht="12.95" customHeight="1">
      <c r="A624" s="25" t="s">
        <v>2506</v>
      </c>
      <c r="B624" s="25"/>
      <c r="C624" s="25" t="s">
        <v>2507</v>
      </c>
      <c r="D624" s="25"/>
      <c r="E624" s="25"/>
    </row>
    <row r="625" spans="1:5" s="15" customFormat="1" ht="12.95" customHeight="1">
      <c r="A625" s="25" t="s">
        <v>2508</v>
      </c>
      <c r="B625" s="25"/>
      <c r="C625" s="25" t="s">
        <v>405</v>
      </c>
      <c r="D625" s="25"/>
      <c r="E625" s="25"/>
    </row>
    <row r="626" spans="1:5" s="15" customFormat="1" ht="12.95" customHeight="1">
      <c r="A626" s="25" t="s">
        <v>2509</v>
      </c>
      <c r="B626" s="25"/>
      <c r="C626" s="25" t="s">
        <v>2507</v>
      </c>
      <c r="D626" s="25"/>
      <c r="E626" s="25"/>
    </row>
    <row r="627" spans="1:5" s="15" customFormat="1" ht="12.95" customHeight="1">
      <c r="A627" s="25" t="s">
        <v>2510</v>
      </c>
      <c r="B627" s="25"/>
      <c r="C627" s="25" t="s">
        <v>2511</v>
      </c>
      <c r="D627" s="25"/>
      <c r="E627" s="25"/>
    </row>
    <row r="628" spans="1:5" s="15" customFormat="1" ht="12.95" customHeight="1">
      <c r="A628" s="25" t="s">
        <v>2512</v>
      </c>
      <c r="B628" s="25"/>
      <c r="C628" s="25" t="s">
        <v>2513</v>
      </c>
      <c r="D628" s="25"/>
      <c r="E628" s="25"/>
    </row>
    <row r="629" spans="1:5" s="15" customFormat="1" ht="12.95" customHeight="1">
      <c r="A629" s="25" t="s">
        <v>2514</v>
      </c>
      <c r="B629" s="25"/>
      <c r="C629" s="25" t="s">
        <v>2515</v>
      </c>
      <c r="D629" s="25"/>
      <c r="E629" s="25"/>
    </row>
    <row r="630" spans="1:5" s="15" customFormat="1" ht="12.95" customHeight="1">
      <c r="A630" s="25" t="s">
        <v>2516</v>
      </c>
      <c r="B630" s="25"/>
      <c r="C630" s="25" t="s">
        <v>2517</v>
      </c>
      <c r="D630" s="25"/>
      <c r="E630" s="25"/>
    </row>
    <row r="631" spans="1:5" s="15" customFormat="1" ht="12.95" customHeight="1">
      <c r="A631" s="25" t="s">
        <v>2518</v>
      </c>
      <c r="B631" s="25"/>
      <c r="C631" s="25" t="s">
        <v>2519</v>
      </c>
      <c r="D631" s="25"/>
      <c r="E631" s="25"/>
    </row>
    <row r="632" spans="1:5" s="15" customFormat="1" ht="12.95" customHeight="1">
      <c r="A632" s="25" t="s">
        <v>2520</v>
      </c>
      <c r="B632" s="25"/>
      <c r="C632" s="25" t="s">
        <v>2521</v>
      </c>
      <c r="D632" s="25"/>
      <c r="E632" s="25"/>
    </row>
    <row r="633" spans="1:5" s="15" customFormat="1" ht="12.95" customHeight="1">
      <c r="A633" s="25" t="s">
        <v>2522</v>
      </c>
      <c r="B633" s="25"/>
      <c r="C633" s="25" t="s">
        <v>2523</v>
      </c>
      <c r="D633" s="25"/>
      <c r="E633" s="25"/>
    </row>
    <row r="634" spans="1:5" s="15" customFormat="1" ht="12.95" customHeight="1">
      <c r="A634" s="25" t="s">
        <v>2524</v>
      </c>
      <c r="B634" s="25"/>
      <c r="C634" s="25" t="s">
        <v>2525</v>
      </c>
      <c r="D634" s="25"/>
      <c r="E634" s="25"/>
    </row>
    <row r="635" spans="1:5" s="15" customFormat="1" ht="12.95" customHeight="1">
      <c r="A635" s="25" t="s">
        <v>2526</v>
      </c>
      <c r="B635" s="25"/>
      <c r="C635" s="25" t="s">
        <v>2527</v>
      </c>
      <c r="D635" s="25"/>
      <c r="E635" s="25"/>
    </row>
    <row r="636" spans="1:5" s="15" customFormat="1" ht="12.95" customHeight="1">
      <c r="A636" s="25" t="s">
        <v>2528</v>
      </c>
      <c r="B636" s="25"/>
      <c r="C636" s="25" t="s">
        <v>2529</v>
      </c>
      <c r="D636" s="25"/>
      <c r="E636" s="25"/>
    </row>
    <row r="637" spans="1:5" s="15" customFormat="1" ht="12.95" customHeight="1">
      <c r="A637" s="25" t="s">
        <v>2530</v>
      </c>
      <c r="B637" s="25"/>
      <c r="C637" s="25" t="s">
        <v>2531</v>
      </c>
      <c r="D637" s="25"/>
      <c r="E637" s="25"/>
    </row>
    <row r="638" spans="1:5" s="15" customFormat="1" ht="12.95" customHeight="1">
      <c r="A638" s="25" t="s">
        <v>2532</v>
      </c>
      <c r="B638" s="25"/>
      <c r="C638" s="25" t="s">
        <v>2533</v>
      </c>
      <c r="D638" s="25"/>
      <c r="E638" s="25"/>
    </row>
    <row r="639" spans="1:5" s="15" customFormat="1" ht="12.95" customHeight="1">
      <c r="A639" s="25" t="s">
        <v>2534</v>
      </c>
      <c r="B639" s="25"/>
      <c r="C639" s="25" t="s">
        <v>2535</v>
      </c>
      <c r="D639" s="25"/>
      <c r="E639" s="25"/>
    </row>
    <row r="640" spans="1:5" s="15" customFormat="1" ht="12.95" customHeight="1">
      <c r="A640" s="25" t="s">
        <v>2536</v>
      </c>
      <c r="B640" s="25"/>
      <c r="C640" s="25" t="s">
        <v>2537</v>
      </c>
      <c r="D640" s="25"/>
      <c r="E640" s="25"/>
    </row>
    <row r="641" spans="1:5" s="15" customFormat="1" ht="12.95" customHeight="1">
      <c r="A641" s="25" t="s">
        <v>2538</v>
      </c>
      <c r="B641" s="25"/>
      <c r="C641" s="25" t="s">
        <v>2539</v>
      </c>
      <c r="D641" s="25"/>
      <c r="E641" s="25"/>
    </row>
    <row r="642" spans="1:5" s="15" customFormat="1" ht="12.95" customHeight="1">
      <c r="A642" s="25" t="s">
        <v>2540</v>
      </c>
      <c r="B642" s="25"/>
      <c r="C642" s="25" t="s">
        <v>2541</v>
      </c>
      <c r="D642" s="25"/>
      <c r="E642" s="25"/>
    </row>
    <row r="643" spans="1:5" s="15" customFormat="1" ht="12.95" customHeight="1">
      <c r="A643" s="25" t="s">
        <v>2542</v>
      </c>
      <c r="B643" s="25"/>
      <c r="C643" s="25" t="s">
        <v>2531</v>
      </c>
      <c r="D643" s="25"/>
      <c r="E643" s="25"/>
    </row>
    <row r="644" spans="1:5" s="15" customFormat="1" ht="12.95" customHeight="1">
      <c r="A644" s="25" t="s">
        <v>2543</v>
      </c>
      <c r="B644" s="25"/>
      <c r="C644" s="25" t="s">
        <v>2544</v>
      </c>
      <c r="D644" s="25"/>
      <c r="E644" s="25"/>
    </row>
    <row r="645" spans="1:5" s="15" customFormat="1" ht="12.95" customHeight="1">
      <c r="A645" s="25" t="s">
        <v>2545</v>
      </c>
      <c r="B645" s="25"/>
      <c r="C645" s="25" t="s">
        <v>2546</v>
      </c>
      <c r="D645" s="25"/>
      <c r="E645" s="25"/>
    </row>
    <row r="646" spans="1:5" s="15" customFormat="1" ht="12.95" customHeight="1">
      <c r="A646" s="25" t="s">
        <v>2547</v>
      </c>
      <c r="B646" s="25"/>
      <c r="C646" s="25" t="s">
        <v>2533</v>
      </c>
      <c r="D646" s="25"/>
      <c r="E646" s="25"/>
    </row>
    <row r="647" spans="1:5" s="15" customFormat="1" ht="12.95" customHeight="1">
      <c r="A647" s="25" t="s">
        <v>2548</v>
      </c>
      <c r="B647" s="25"/>
      <c r="C647" s="25" t="s">
        <v>2535</v>
      </c>
      <c r="D647" s="25"/>
      <c r="E647" s="25"/>
    </row>
    <row r="648" spans="1:5" s="15" customFormat="1" ht="12.95" customHeight="1">
      <c r="A648" s="25" t="s">
        <v>2549</v>
      </c>
      <c r="B648" s="25"/>
      <c r="C648" s="25" t="s">
        <v>2537</v>
      </c>
      <c r="D648" s="25"/>
      <c r="E648" s="25"/>
    </row>
    <row r="649" spans="1:5" s="15" customFormat="1" ht="12.95" customHeight="1">
      <c r="A649" s="25" t="s">
        <v>2550</v>
      </c>
      <c r="B649" s="25"/>
      <c r="C649" s="25" t="s">
        <v>2539</v>
      </c>
      <c r="D649" s="25"/>
      <c r="E649" s="25"/>
    </row>
    <row r="650" spans="1:5" s="15" customFormat="1" ht="12.95" customHeight="1">
      <c r="A650" s="25" t="s">
        <v>2551</v>
      </c>
      <c r="B650" s="25"/>
      <c r="C650" s="25" t="s">
        <v>2541</v>
      </c>
      <c r="D650" s="25"/>
      <c r="E650" s="25"/>
    </row>
    <row r="651" spans="1:5" s="15" customFormat="1" ht="12.95" customHeight="1">
      <c r="A651" s="25" t="s">
        <v>2552</v>
      </c>
      <c r="B651" s="25"/>
      <c r="C651" s="25" t="s">
        <v>2531</v>
      </c>
      <c r="D651" s="25"/>
      <c r="E651" s="25"/>
    </row>
    <row r="652" spans="1:5" s="15" customFormat="1" ht="12.95" customHeight="1">
      <c r="A652" s="25" t="s">
        <v>2553</v>
      </c>
      <c r="B652" s="25"/>
      <c r="C652" s="25" t="s">
        <v>2544</v>
      </c>
      <c r="D652" s="25"/>
      <c r="E652" s="25"/>
    </row>
    <row r="653" spans="1:5" s="15" customFormat="1" ht="12.95" customHeight="1">
      <c r="A653" s="25" t="s">
        <v>2554</v>
      </c>
      <c r="B653" s="25"/>
      <c r="C653" s="25" t="s">
        <v>2555</v>
      </c>
      <c r="D653" s="25"/>
      <c r="E653" s="25"/>
    </row>
    <row r="654" spans="1:5" s="15" customFormat="1" ht="12.95" customHeight="1">
      <c r="A654" s="25" t="s">
        <v>2556</v>
      </c>
      <c r="B654" s="25"/>
      <c r="C654" s="25" t="s">
        <v>2557</v>
      </c>
      <c r="D654" s="25"/>
      <c r="E654" s="25"/>
    </row>
    <row r="655" spans="1:5" s="15" customFormat="1" ht="12.95" customHeight="1">
      <c r="A655" s="25" t="s">
        <v>2558</v>
      </c>
      <c r="B655" s="25"/>
      <c r="C655" s="25" t="s">
        <v>2559</v>
      </c>
      <c r="D655" s="25"/>
      <c r="E655" s="25"/>
    </row>
    <row r="656" spans="1:5" s="15" customFormat="1" ht="12.95" customHeight="1">
      <c r="A656" s="25" t="s">
        <v>2560</v>
      </c>
      <c r="B656" s="25"/>
      <c r="C656" s="25" t="s">
        <v>2561</v>
      </c>
      <c r="D656" s="25"/>
      <c r="E656" s="25"/>
    </row>
    <row r="657" spans="1:5" s="15" customFormat="1" ht="12.95" customHeight="1">
      <c r="A657" s="25" t="s">
        <v>2562</v>
      </c>
      <c r="B657" s="25"/>
      <c r="C657" s="25" t="s">
        <v>2563</v>
      </c>
      <c r="D657" s="25"/>
      <c r="E657" s="25"/>
    </row>
    <row r="658" spans="1:5" s="15" customFormat="1" ht="12.95" customHeight="1">
      <c r="A658" s="25" t="s">
        <v>2564</v>
      </c>
      <c r="B658" s="25"/>
      <c r="C658" s="25" t="s">
        <v>2565</v>
      </c>
      <c r="D658" s="25"/>
      <c r="E658" s="25"/>
    </row>
    <row r="659" spans="1:5" s="15" customFormat="1" ht="12.95" customHeight="1">
      <c r="A659" s="25" t="s">
        <v>2566</v>
      </c>
      <c r="B659" s="25"/>
      <c r="C659" s="25" t="s">
        <v>2563</v>
      </c>
      <c r="D659" s="25"/>
      <c r="E659" s="25"/>
    </row>
    <row r="660" spans="1:5" s="15" customFormat="1" ht="12.95" customHeight="1">
      <c r="A660" s="25" t="s">
        <v>2567</v>
      </c>
      <c r="B660" s="25"/>
      <c r="C660" s="25" t="s">
        <v>2565</v>
      </c>
      <c r="D660" s="25"/>
      <c r="E660" s="25"/>
    </row>
    <row r="661" spans="1:5" s="15" customFormat="1" ht="12.95" customHeight="1">
      <c r="A661" s="25" t="s">
        <v>2568</v>
      </c>
      <c r="B661" s="25"/>
      <c r="C661" s="25" t="s">
        <v>2569</v>
      </c>
      <c r="D661" s="25"/>
      <c r="E661" s="25"/>
    </row>
    <row r="662" spans="1:5" s="15" customFormat="1" ht="12.95" customHeight="1">
      <c r="A662" s="25" t="s">
        <v>2570</v>
      </c>
      <c r="B662" s="25"/>
      <c r="C662" s="25" t="s">
        <v>2571</v>
      </c>
      <c r="D662" s="25"/>
      <c r="E662" s="25"/>
    </row>
    <row r="663" spans="1:5" s="15" customFormat="1" ht="12.95" customHeight="1">
      <c r="A663" s="25" t="s">
        <v>2572</v>
      </c>
      <c r="B663" s="25"/>
      <c r="C663" s="25" t="s">
        <v>2573</v>
      </c>
      <c r="D663" s="25"/>
      <c r="E663" s="25"/>
    </row>
    <row r="664" spans="1:5" s="15" customFormat="1" ht="12.95" customHeight="1">
      <c r="A664" s="25" t="s">
        <v>2574</v>
      </c>
      <c r="B664" s="25"/>
      <c r="C664" s="25" t="s">
        <v>2575</v>
      </c>
      <c r="D664" s="25"/>
      <c r="E664" s="25"/>
    </row>
    <row r="665" spans="1:5" s="15" customFormat="1" ht="12.95" customHeight="1">
      <c r="A665" s="25" t="s">
        <v>2576</v>
      </c>
      <c r="B665" s="25"/>
      <c r="C665" s="25" t="s">
        <v>2571</v>
      </c>
      <c r="D665" s="25"/>
      <c r="E665" s="25"/>
    </row>
    <row r="666" spans="1:5" s="15" customFormat="1" ht="12.95" customHeight="1">
      <c r="A666" s="25" t="s">
        <v>2577</v>
      </c>
      <c r="B666" s="25"/>
      <c r="C666" s="25" t="s">
        <v>2578</v>
      </c>
      <c r="D666" s="25"/>
      <c r="E666" s="25"/>
    </row>
    <row r="667" spans="1:5" s="15" customFormat="1" ht="12.95" customHeight="1">
      <c r="A667" s="25" t="s">
        <v>2579</v>
      </c>
      <c r="B667" s="25"/>
      <c r="C667" s="25" t="s">
        <v>2580</v>
      </c>
      <c r="D667" s="25"/>
      <c r="E667" s="25"/>
    </row>
    <row r="668" spans="1:5" s="15" customFormat="1" ht="12.95" customHeight="1">
      <c r="A668" s="25" t="s">
        <v>2581</v>
      </c>
      <c r="B668" s="25"/>
      <c r="C668" s="25" t="s">
        <v>2582</v>
      </c>
      <c r="D668" s="25"/>
      <c r="E668" s="25"/>
    </row>
    <row r="669" spans="1:5" s="15" customFormat="1" ht="12.95" customHeight="1">
      <c r="A669" s="25" t="s">
        <v>2583</v>
      </c>
      <c r="B669" s="25"/>
      <c r="C669" s="25" t="s">
        <v>2584</v>
      </c>
      <c r="D669" s="25"/>
      <c r="E669" s="25"/>
    </row>
    <row r="670" spans="1:5" s="15" customFormat="1" ht="12.95" customHeight="1">
      <c r="A670" s="25" t="s">
        <v>2585</v>
      </c>
      <c r="B670" s="25"/>
      <c r="C670" s="25" t="s">
        <v>2586</v>
      </c>
      <c r="D670" s="25"/>
      <c r="E670" s="25"/>
    </row>
    <row r="671" spans="1:5" s="15" customFormat="1" ht="12.95" customHeight="1">
      <c r="A671" s="25" t="s">
        <v>2587</v>
      </c>
      <c r="B671" s="25"/>
      <c r="C671" s="25" t="s">
        <v>2588</v>
      </c>
      <c r="D671" s="25"/>
      <c r="E671" s="25"/>
    </row>
    <row r="672" spans="1:5" s="15" customFormat="1" ht="12.95" customHeight="1">
      <c r="A672" s="25" t="s">
        <v>2589</v>
      </c>
      <c r="B672" s="25"/>
      <c r="C672" s="25" t="s">
        <v>2590</v>
      </c>
      <c r="D672" s="25"/>
      <c r="E672" s="25"/>
    </row>
    <row r="673" spans="1:5" s="15" customFormat="1" ht="12.95" customHeight="1">
      <c r="A673" s="25" t="s">
        <v>2591</v>
      </c>
      <c r="B673" s="25"/>
      <c r="C673" s="25" t="s">
        <v>2584</v>
      </c>
      <c r="D673" s="25"/>
      <c r="E673" s="25"/>
    </row>
    <row r="674" spans="1:5" s="15" customFormat="1" ht="12.95" customHeight="1">
      <c r="A674" s="25" t="s">
        <v>2592</v>
      </c>
      <c r="B674" s="25"/>
      <c r="C674" s="25" t="s">
        <v>2586</v>
      </c>
      <c r="D674" s="25"/>
      <c r="E674" s="25"/>
    </row>
    <row r="675" spans="1:5" s="15" customFormat="1" ht="12.95" customHeight="1">
      <c r="A675" s="25" t="s">
        <v>2593</v>
      </c>
      <c r="B675" s="25"/>
      <c r="C675" s="25" t="s">
        <v>2594</v>
      </c>
      <c r="D675" s="25"/>
      <c r="E675" s="25"/>
    </row>
    <row r="676" spans="1:5" s="15" customFormat="1" ht="12.95" customHeight="1">
      <c r="A676" s="25" t="s">
        <v>2595</v>
      </c>
      <c r="B676" s="25"/>
      <c r="C676" s="25" t="s">
        <v>2596</v>
      </c>
      <c r="D676" s="25"/>
      <c r="E676" s="25"/>
    </row>
    <row r="677" spans="1:5" s="15" customFormat="1" ht="12.95" customHeight="1">
      <c r="A677" s="25" t="s">
        <v>2597</v>
      </c>
      <c r="B677" s="25"/>
      <c r="C677" s="25" t="s">
        <v>2598</v>
      </c>
      <c r="D677" s="25"/>
      <c r="E677" s="25"/>
    </row>
    <row r="678" spans="1:5" s="15" customFormat="1" ht="12.95" customHeight="1">
      <c r="A678" s="25" t="s">
        <v>2599</v>
      </c>
      <c r="B678" s="25"/>
      <c r="C678" s="25" t="s">
        <v>2600</v>
      </c>
      <c r="D678" s="25"/>
      <c r="E678" s="25"/>
    </row>
    <row r="679" spans="1:5" s="15" customFormat="1" ht="12.95" customHeight="1">
      <c r="A679" s="25" t="s">
        <v>2601</v>
      </c>
      <c r="B679" s="25"/>
      <c r="C679" s="25" t="s">
        <v>2602</v>
      </c>
      <c r="D679" s="25"/>
      <c r="E679" s="25"/>
    </row>
    <row r="680" spans="1:5" s="15" customFormat="1" ht="12.95" customHeight="1">
      <c r="A680" s="25" t="s">
        <v>2603</v>
      </c>
      <c r="B680" s="25"/>
      <c r="C680" s="25" t="s">
        <v>2604</v>
      </c>
      <c r="D680" s="25"/>
      <c r="E680" s="25"/>
    </row>
    <row r="681" spans="1:5" s="15" customFormat="1" ht="12.95" customHeight="1">
      <c r="A681" s="25" t="s">
        <v>2605</v>
      </c>
      <c r="B681" s="25"/>
      <c r="C681" s="25" t="s">
        <v>2606</v>
      </c>
      <c r="D681" s="25"/>
      <c r="E681" s="25"/>
    </row>
    <row r="682" spans="1:5" s="15" customFormat="1" ht="12.95" customHeight="1">
      <c r="A682" s="25" t="s">
        <v>2607</v>
      </c>
      <c r="B682" s="25"/>
      <c r="C682" s="25" t="s">
        <v>2608</v>
      </c>
      <c r="D682" s="25"/>
      <c r="E682" s="25"/>
    </row>
    <row r="683" spans="1:5" s="15" customFormat="1" ht="12.95" customHeight="1">
      <c r="A683" s="25" t="s">
        <v>2609</v>
      </c>
      <c r="B683" s="25"/>
      <c r="C683" s="25" t="s">
        <v>2610</v>
      </c>
      <c r="D683" s="25"/>
      <c r="E683" s="25"/>
    </row>
    <row r="684" spans="1:5" s="15" customFormat="1" ht="12.95" customHeight="1">
      <c r="A684" s="25" t="s">
        <v>2611</v>
      </c>
      <c r="B684" s="25"/>
      <c r="C684" s="25" t="s">
        <v>2612</v>
      </c>
      <c r="D684" s="25"/>
      <c r="E684" s="25"/>
    </row>
    <row r="685" spans="1:5" s="15" customFormat="1" ht="12.95" customHeight="1">
      <c r="A685" s="25" t="s">
        <v>2613</v>
      </c>
      <c r="B685" s="25"/>
      <c r="C685" s="25" t="s">
        <v>2614</v>
      </c>
      <c r="D685" s="25"/>
      <c r="E685" s="25"/>
    </row>
    <row r="686" spans="1:5" s="15" customFormat="1" ht="12.95" customHeight="1">
      <c r="A686" s="25" t="s">
        <v>2615</v>
      </c>
      <c r="B686" s="25"/>
      <c r="C686" s="25" t="s">
        <v>2616</v>
      </c>
      <c r="D686" s="25"/>
      <c r="E686" s="25"/>
    </row>
    <row r="687" spans="1:5" s="15" customFormat="1" ht="12.95" customHeight="1">
      <c r="A687" s="25" t="s">
        <v>2617</v>
      </c>
      <c r="B687" s="25"/>
      <c r="C687" s="25" t="s">
        <v>2618</v>
      </c>
      <c r="D687" s="25"/>
      <c r="E687" s="25"/>
    </row>
    <row r="688" spans="1:5" s="15" customFormat="1" ht="12.95" customHeight="1">
      <c r="A688" s="25" t="s">
        <v>2619</v>
      </c>
      <c r="B688" s="25"/>
      <c r="C688" s="25" t="s">
        <v>2620</v>
      </c>
      <c r="D688" s="25"/>
      <c r="E688" s="25"/>
    </row>
    <row r="689" spans="1:5" s="15" customFormat="1" ht="12.95" customHeight="1">
      <c r="A689" s="25" t="s">
        <v>2621</v>
      </c>
      <c r="B689" s="25"/>
      <c r="C689" s="25" t="s">
        <v>2622</v>
      </c>
      <c r="D689" s="25"/>
      <c r="E689" s="25"/>
    </row>
    <row r="690" spans="1:5" s="15" customFormat="1" ht="12.95" customHeight="1">
      <c r="A690" s="25" t="s">
        <v>2623</v>
      </c>
      <c r="B690" s="25"/>
      <c r="C690" s="25" t="s">
        <v>2624</v>
      </c>
      <c r="D690" s="25"/>
      <c r="E690" s="25"/>
    </row>
    <row r="691" spans="1:5" s="15" customFormat="1" ht="12.95" customHeight="1">
      <c r="A691" s="25" t="s">
        <v>2625</v>
      </c>
      <c r="B691" s="25"/>
      <c r="C691" s="25" t="s">
        <v>2626</v>
      </c>
      <c r="D691" s="25"/>
      <c r="E691" s="25"/>
    </row>
    <row r="692" spans="1:5" s="15" customFormat="1" ht="12.95" customHeight="1">
      <c r="A692" s="25" t="s">
        <v>2627</v>
      </c>
      <c r="B692" s="25"/>
      <c r="C692" s="25" t="s">
        <v>2628</v>
      </c>
      <c r="D692" s="25"/>
      <c r="E692" s="25"/>
    </row>
    <row r="693" spans="1:5" s="15" customFormat="1" ht="12.95" customHeight="1">
      <c r="A693" s="25" t="s">
        <v>2629</v>
      </c>
      <c r="B693" s="25"/>
      <c r="C693" s="25" t="s">
        <v>2630</v>
      </c>
      <c r="D693" s="25"/>
      <c r="E693" s="25"/>
    </row>
    <row r="694" spans="1:5" s="15" customFormat="1" ht="12.95" customHeight="1">
      <c r="A694" s="25" t="s">
        <v>2631</v>
      </c>
      <c r="B694" s="25"/>
      <c r="C694" s="25" t="s">
        <v>2632</v>
      </c>
      <c r="D694" s="25"/>
      <c r="E694" s="25"/>
    </row>
    <row r="695" spans="1:5" s="15" customFormat="1" ht="12.95" customHeight="1">
      <c r="A695" s="25" t="s">
        <v>2633</v>
      </c>
      <c r="B695" s="25"/>
      <c r="C695" s="25" t="s">
        <v>2634</v>
      </c>
      <c r="D695" s="25"/>
      <c r="E695" s="25"/>
    </row>
    <row r="696" spans="1:5" s="15" customFormat="1" ht="12.95" customHeight="1">
      <c r="A696" s="25" t="s">
        <v>2635</v>
      </c>
      <c r="B696" s="25"/>
      <c r="C696" s="25" t="s">
        <v>2636</v>
      </c>
      <c r="D696" s="25"/>
      <c r="E696" s="25"/>
    </row>
    <row r="697" spans="1:5" s="15" customFormat="1" ht="12.95" customHeight="1">
      <c r="A697" s="25" t="s">
        <v>2637</v>
      </c>
      <c r="B697" s="25"/>
      <c r="C697" s="25" t="s">
        <v>2638</v>
      </c>
      <c r="D697" s="25"/>
      <c r="E697" s="25"/>
    </row>
    <row r="698" spans="1:5" s="15" customFormat="1" ht="12.95" customHeight="1">
      <c r="A698" s="25" t="s">
        <v>2639</v>
      </c>
      <c r="B698" s="25"/>
      <c r="C698" s="25" t="s">
        <v>2640</v>
      </c>
      <c r="D698" s="25"/>
      <c r="E698" s="25"/>
    </row>
    <row r="699" spans="1:5" s="15" customFormat="1" ht="12.95" customHeight="1">
      <c r="A699" s="25" t="s">
        <v>2641</v>
      </c>
      <c r="B699" s="25"/>
      <c r="C699" s="25" t="s">
        <v>2642</v>
      </c>
      <c r="D699" s="25"/>
      <c r="E699" s="25"/>
    </row>
    <row r="700" spans="1:5" s="15" customFormat="1" ht="12.95" customHeight="1">
      <c r="A700" s="25" t="s">
        <v>2643</v>
      </c>
      <c r="B700" s="25"/>
      <c r="C700" s="25" t="s">
        <v>2644</v>
      </c>
      <c r="D700" s="25"/>
      <c r="E700" s="25"/>
    </row>
    <row r="701" spans="1:5" s="15" customFormat="1" ht="12.95" customHeight="1">
      <c r="A701" s="25" t="s">
        <v>2645</v>
      </c>
      <c r="B701" s="25"/>
      <c r="C701" s="25" t="s">
        <v>2646</v>
      </c>
      <c r="D701" s="25"/>
      <c r="E701" s="25"/>
    </row>
    <row r="702" spans="1:5" s="15" customFormat="1" ht="12.95" customHeight="1">
      <c r="A702" s="25" t="s">
        <v>2647</v>
      </c>
      <c r="B702" s="25"/>
      <c r="C702" s="25" t="s">
        <v>2646</v>
      </c>
      <c r="D702" s="25"/>
      <c r="E702" s="25"/>
    </row>
    <row r="703" spans="1:5" s="15" customFormat="1" ht="12.95" customHeight="1">
      <c r="A703" s="25" t="s">
        <v>2648</v>
      </c>
      <c r="B703" s="25"/>
      <c r="C703" s="25" t="s">
        <v>2649</v>
      </c>
      <c r="D703" s="25"/>
      <c r="E703" s="25"/>
    </row>
    <row r="704" spans="1:5" s="15" customFormat="1" ht="12.95" customHeight="1">
      <c r="A704" s="25" t="s">
        <v>2650</v>
      </c>
      <c r="B704" s="25"/>
      <c r="C704" s="25" t="s">
        <v>2651</v>
      </c>
      <c r="D704" s="25"/>
      <c r="E704" s="25"/>
    </row>
    <row r="705" spans="1:5" s="15" customFormat="1" ht="12.95" customHeight="1">
      <c r="A705" s="25" t="s">
        <v>2652</v>
      </c>
      <c r="B705" s="25"/>
      <c r="C705" s="25" t="s">
        <v>2653</v>
      </c>
      <c r="D705" s="25"/>
      <c r="E705" s="25"/>
    </row>
    <row r="706" spans="1:5" s="15" customFormat="1" ht="12.95" customHeight="1">
      <c r="A706" s="25" t="s">
        <v>2654</v>
      </c>
      <c r="B706" s="25"/>
      <c r="C706" s="25" t="s">
        <v>2655</v>
      </c>
      <c r="D706" s="25"/>
      <c r="E706" s="25"/>
    </row>
    <row r="707" spans="1:5" s="15" customFormat="1" ht="12.95" customHeight="1">
      <c r="A707" s="25" t="s">
        <v>2656</v>
      </c>
      <c r="B707" s="25"/>
      <c r="C707" s="25" t="s">
        <v>2657</v>
      </c>
      <c r="D707" s="25"/>
      <c r="E707" s="25"/>
    </row>
    <row r="708" spans="1:5" s="15" customFormat="1" ht="12.95" customHeight="1">
      <c r="A708" s="25" t="s">
        <v>2658</v>
      </c>
      <c r="B708" s="25"/>
      <c r="C708" s="25" t="s">
        <v>2659</v>
      </c>
      <c r="D708" s="25"/>
      <c r="E708" s="25"/>
    </row>
    <row r="709" spans="1:5" s="15" customFormat="1" ht="12.95" customHeight="1">
      <c r="A709" s="25" t="s">
        <v>2660</v>
      </c>
      <c r="B709" s="25"/>
      <c r="C709" s="25" t="s">
        <v>2661</v>
      </c>
      <c r="D709" s="25"/>
      <c r="E709" s="25"/>
    </row>
    <row r="710" spans="1:5" s="15" customFormat="1" ht="12.95" customHeight="1">
      <c r="A710" s="25" t="s">
        <v>2662</v>
      </c>
      <c r="B710" s="25"/>
      <c r="C710" s="25" t="s">
        <v>2663</v>
      </c>
      <c r="D710" s="25"/>
      <c r="E710" s="25"/>
    </row>
    <row r="711" spans="1:5" s="15" customFormat="1" ht="12.95" customHeight="1">
      <c r="A711" s="25" t="s">
        <v>2664</v>
      </c>
      <c r="B711" s="25"/>
      <c r="C711" s="25" t="s">
        <v>2665</v>
      </c>
      <c r="D711" s="25"/>
      <c r="E711" s="25"/>
    </row>
    <row r="712" spans="1:5" s="15" customFormat="1" ht="12.95" customHeight="1">
      <c r="A712" s="25" t="s">
        <v>2666</v>
      </c>
      <c r="B712" s="25"/>
      <c r="C712" s="25" t="s">
        <v>2667</v>
      </c>
      <c r="D712" s="25"/>
      <c r="E712" s="25"/>
    </row>
    <row r="713" spans="1:5" s="15" customFormat="1" ht="12.95" customHeight="1">
      <c r="A713" s="25" t="s">
        <v>2668</v>
      </c>
      <c r="B713" s="25"/>
      <c r="C713" s="25" t="s">
        <v>2669</v>
      </c>
      <c r="D713" s="25"/>
      <c r="E713" s="25"/>
    </row>
    <row r="714" spans="1:5" s="15" customFormat="1" ht="12.95" customHeight="1">
      <c r="A714" s="25" t="s">
        <v>2670</v>
      </c>
      <c r="B714" s="25"/>
      <c r="C714" s="25" t="s">
        <v>2671</v>
      </c>
      <c r="D714" s="25"/>
      <c r="E714" s="25"/>
    </row>
    <row r="715" spans="1:5" s="15" customFormat="1" ht="12.95" customHeight="1">
      <c r="A715" s="25" t="s">
        <v>2672</v>
      </c>
      <c r="B715" s="25"/>
      <c r="C715" s="25" t="s">
        <v>2673</v>
      </c>
      <c r="D715" s="25"/>
      <c r="E715" s="25"/>
    </row>
    <row r="716" spans="1:5" s="15" customFormat="1" ht="12.95" customHeight="1">
      <c r="A716" s="25" t="s">
        <v>2674</v>
      </c>
      <c r="B716" s="25"/>
      <c r="C716" s="25" t="s">
        <v>2675</v>
      </c>
      <c r="D716" s="25"/>
      <c r="E716" s="25"/>
    </row>
    <row r="717" spans="1:5" s="15" customFormat="1" ht="12.95" customHeight="1">
      <c r="A717" s="25" t="s">
        <v>2676</v>
      </c>
      <c r="B717" s="25"/>
      <c r="C717" s="25" t="s">
        <v>2677</v>
      </c>
      <c r="D717" s="25"/>
      <c r="E717" s="25"/>
    </row>
    <row r="718" spans="1:5" s="15" customFormat="1" ht="12.95" customHeight="1">
      <c r="A718" s="25" t="s">
        <v>2678</v>
      </c>
      <c r="B718" s="25"/>
      <c r="C718" s="25" t="s">
        <v>2677</v>
      </c>
      <c r="D718" s="25"/>
      <c r="E718" s="25"/>
    </row>
    <row r="719" spans="1:5" s="15" customFormat="1" ht="12.95" customHeight="1">
      <c r="A719" s="25" t="s">
        <v>2679</v>
      </c>
      <c r="B719" s="25"/>
      <c r="C719" s="25" t="s">
        <v>2680</v>
      </c>
      <c r="D719" s="25"/>
      <c r="E719" s="25"/>
    </row>
    <row r="720" spans="1:5" s="15" customFormat="1" ht="12.95" customHeight="1">
      <c r="A720" s="25" t="s">
        <v>2681</v>
      </c>
      <c r="B720" s="25"/>
      <c r="C720" s="25" t="s">
        <v>1834</v>
      </c>
      <c r="D720" s="25"/>
      <c r="E720" s="25"/>
    </row>
    <row r="721" spans="1:5" s="15" customFormat="1" ht="12.95" customHeight="1">
      <c r="A721" s="25" t="s">
        <v>2682</v>
      </c>
      <c r="B721" s="25"/>
      <c r="C721" s="25" t="s">
        <v>2683</v>
      </c>
      <c r="D721" s="25"/>
      <c r="E721" s="25"/>
    </row>
    <row r="722" spans="1:5" s="15" customFormat="1" ht="12.95" customHeight="1">
      <c r="A722" s="25" t="s">
        <v>2684</v>
      </c>
      <c r="B722" s="25"/>
      <c r="C722" s="25" t="s">
        <v>2685</v>
      </c>
      <c r="D722" s="25"/>
      <c r="E722" s="25"/>
    </row>
    <row r="723" spans="1:5" s="15" customFormat="1" ht="12.95" customHeight="1">
      <c r="A723" s="25" t="s">
        <v>2686</v>
      </c>
      <c r="B723" s="25"/>
      <c r="C723" s="25" t="s">
        <v>2687</v>
      </c>
      <c r="D723" s="25"/>
      <c r="E723" s="25"/>
    </row>
    <row r="724" spans="1:5" s="15" customFormat="1" ht="12.95" customHeight="1">
      <c r="A724" s="25" t="s">
        <v>2688</v>
      </c>
      <c r="B724" s="25"/>
      <c r="C724" s="25" t="s">
        <v>2689</v>
      </c>
      <c r="D724" s="25"/>
      <c r="E724" s="25"/>
    </row>
    <row r="725" spans="1:5" s="15" customFormat="1" ht="12.95" customHeight="1">
      <c r="A725" s="25" t="s">
        <v>2690</v>
      </c>
      <c r="B725" s="25"/>
      <c r="C725" s="25" t="s">
        <v>2691</v>
      </c>
      <c r="D725" s="25"/>
      <c r="E725" s="25"/>
    </row>
    <row r="726" spans="1:5" s="15" customFormat="1" ht="12.95" customHeight="1">
      <c r="A726" s="25" t="s">
        <v>2692</v>
      </c>
      <c r="B726" s="25"/>
      <c r="C726" s="25" t="s">
        <v>2693</v>
      </c>
      <c r="D726" s="25"/>
      <c r="E726" s="25"/>
    </row>
    <row r="727" spans="1:5" s="15" customFormat="1" ht="12.95" customHeight="1">
      <c r="A727" s="25" t="s">
        <v>2694</v>
      </c>
      <c r="B727" s="25"/>
      <c r="C727" s="25" t="s">
        <v>2695</v>
      </c>
      <c r="D727" s="25"/>
      <c r="E727" s="25"/>
    </row>
    <row r="728" spans="1:5" s="15" customFormat="1" ht="12.95" customHeight="1">
      <c r="A728" s="25" t="s">
        <v>2696</v>
      </c>
      <c r="B728" s="25"/>
      <c r="C728" s="25" t="s">
        <v>2697</v>
      </c>
      <c r="D728" s="25"/>
      <c r="E728" s="25"/>
    </row>
    <row r="729" spans="1:5" s="15" customFormat="1" ht="12.95" customHeight="1">
      <c r="A729" s="25" t="s">
        <v>2698</v>
      </c>
      <c r="B729" s="25"/>
      <c r="C729" s="25" t="s">
        <v>2699</v>
      </c>
      <c r="D729" s="25"/>
      <c r="E729" s="25"/>
    </row>
    <row r="730" spans="1:5" s="15" customFormat="1" ht="12.95" customHeight="1">
      <c r="A730" s="25" t="s">
        <v>2698</v>
      </c>
      <c r="B730" s="25"/>
      <c r="C730" s="25" t="s">
        <v>2699</v>
      </c>
      <c r="D730" s="25"/>
      <c r="E730" s="25"/>
    </row>
    <row r="731" spans="1:5" s="15" customFormat="1" ht="26.1" customHeight="1">
      <c r="A731" s="25" t="s">
        <v>2700</v>
      </c>
      <c r="B731" s="25"/>
      <c r="C731" s="25" t="s">
        <v>2701</v>
      </c>
      <c r="D731" s="25"/>
      <c r="E731" s="25"/>
    </row>
  </sheetData>
  <mergeCells count="963">
    <mergeCell ref="A730:B730"/>
    <mergeCell ref="C730:E730"/>
    <mergeCell ref="A731:B731"/>
    <mergeCell ref="C731:E731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29:B729"/>
    <mergeCell ref="C729:E72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704:B704"/>
    <mergeCell ref="C704:E70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94:B694"/>
    <mergeCell ref="C694:E69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89:B689"/>
    <mergeCell ref="C689:E68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84:B684"/>
    <mergeCell ref="C684:E68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59:B659"/>
    <mergeCell ref="C659:E65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49:B649"/>
    <mergeCell ref="C649:E64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39:B639"/>
    <mergeCell ref="C639:E63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34:B634"/>
    <mergeCell ref="C634:E63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29:B629"/>
    <mergeCell ref="C629:E62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24:B624"/>
    <mergeCell ref="C624:E62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19:B619"/>
    <mergeCell ref="C619:E61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14:B614"/>
    <mergeCell ref="C614:E61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609:B609"/>
    <mergeCell ref="C609:E60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604:B604"/>
    <mergeCell ref="C604:E60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99:B599"/>
    <mergeCell ref="C599:E59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94:B594"/>
    <mergeCell ref="C594:E59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89:B589"/>
    <mergeCell ref="C589:E58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84:B584"/>
    <mergeCell ref="C584:E58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79:B579"/>
    <mergeCell ref="C579:E57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74:B574"/>
    <mergeCell ref="C574:E57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69:B569"/>
    <mergeCell ref="C569:E56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64:B564"/>
    <mergeCell ref="C564:E56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59:B559"/>
    <mergeCell ref="C559:E55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54:B554"/>
    <mergeCell ref="C554:E55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49:B549"/>
    <mergeCell ref="C549:E54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44:B544"/>
    <mergeCell ref="C544:E54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39:B539"/>
    <mergeCell ref="C539:E53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34:B534"/>
    <mergeCell ref="C534:E53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29:B529"/>
    <mergeCell ref="C529:E52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24:B524"/>
    <mergeCell ref="C524:E52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19:B519"/>
    <mergeCell ref="C519:E51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14:B514"/>
    <mergeCell ref="C514:E51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509:B509"/>
    <mergeCell ref="C509:E50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504:B504"/>
    <mergeCell ref="C504:E50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99:B499"/>
    <mergeCell ref="C499:E49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94:B494"/>
    <mergeCell ref="C494:E49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89:B489"/>
    <mergeCell ref="C489:E48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74:B374"/>
    <mergeCell ref="C374:E37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64:B364"/>
    <mergeCell ref="C364:E36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59:B359"/>
    <mergeCell ref="C359:E35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54:B354"/>
    <mergeCell ref="C354:E35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49:B349"/>
    <mergeCell ref="C349:E34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44:B344"/>
    <mergeCell ref="C344:E34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34:B334"/>
    <mergeCell ref="C334:E33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29:B329"/>
    <mergeCell ref="C329:E32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24:B324"/>
    <mergeCell ref="C324:E32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1:E1"/>
    <mergeCell ref="F1:I5"/>
    <mergeCell ref="J1:O1"/>
    <mergeCell ref="A2:E2"/>
    <mergeCell ref="J2:O5"/>
    <mergeCell ref="A3:E3"/>
    <mergeCell ref="A4:E4"/>
    <mergeCell ref="A5:E5"/>
    <mergeCell ref="A253:B25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2024-05-13T19:50:51Z</dcterms:modified>
</cp:coreProperties>
</file>